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luepointmortgagecom-my.sharepoint.com/personal/bma_bluepointmtg_com/Documents/Desktop/Projects/Calculators/"/>
    </mc:Choice>
  </mc:AlternateContent>
  <xr:revisionPtr revIDLastSave="604" documentId="8_{A2279F7E-56D5-4530-BA18-883D8F6C0B81}" xr6:coauthVersionLast="47" xr6:coauthVersionMax="47" xr10:uidLastSave="{E2D6B927-597F-41C7-821D-E5177E9622F9}"/>
  <workbookProtection workbookAlgorithmName="SHA-512" workbookHashValue="Hnji/QVj0QDEwk97PKJd3N4oQdla0FMzwdFFyn/q01QDhGhBKX5HO00wRQ5uTDfwJLI0mwMpD1OWuh/LPs6tpg==" workbookSaltValue="yT3sGfgd2z7k5fgQqJLtKg==" workbookSpinCount="100000" lockStructure="1"/>
  <bookViews>
    <workbookView xWindow="-110" yWindow="-110" windowWidth="19420" windowHeight="11620" xr2:uid="{2676D87A-3D42-47F3-9F0D-0F3535803740}"/>
  </bookViews>
  <sheets>
    <sheet name="Temp Buydown Calculator" sheetId="3" r:id="rId1"/>
    <sheet name="Max Seller Contribution Calc" sheetId="4" state="hidden" r:id="rId2"/>
    <sheet name="Dropdowns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3" l="1"/>
  <c r="C42" i="3"/>
  <c r="C41" i="3"/>
  <c r="C32" i="3"/>
  <c r="C31" i="3"/>
  <c r="C30" i="3"/>
  <c r="A42" i="3" l="1"/>
  <c r="A32" i="3"/>
  <c r="C9" i="4"/>
  <c r="C8" i="4"/>
  <c r="B2" i="4"/>
  <c r="B3" i="4"/>
  <c r="B9" i="4" s="1"/>
  <c r="B41" i="3"/>
  <c r="B42" i="3"/>
  <c r="D42" i="3" s="1"/>
  <c r="D41" i="3" l="1"/>
  <c r="E41" i="3" s="1"/>
  <c r="E44" i="3" s="1"/>
  <c r="F44" i="3" s="1"/>
  <c r="F45" i="3" s="1"/>
  <c r="B7" i="4"/>
  <c r="C7" i="4"/>
  <c r="B10" i="4"/>
  <c r="C10" i="4"/>
  <c r="B8" i="4"/>
  <c r="B30" i="3"/>
  <c r="B31" i="3"/>
  <c r="B32" i="3"/>
  <c r="D32" i="3" s="1"/>
  <c r="D31" i="3" l="1"/>
  <c r="E31" i="3" s="1"/>
  <c r="F31" i="3" s="1"/>
  <c r="D30" i="3"/>
  <c r="E30" i="3" s="1"/>
  <c r="E34" i="3" s="1"/>
  <c r="F34" i="3" s="1"/>
  <c r="F14" i="3"/>
  <c r="F15" i="3"/>
  <c r="D23" i="3" s="1"/>
  <c r="F41" i="3"/>
  <c r="F36" i="3" l="1"/>
  <c r="F30" i="3"/>
  <c r="E35" i="3"/>
  <c r="F35" i="3" s="1"/>
</calcChain>
</file>

<file path=xl/sharedStrings.xml><?xml version="1.0" encoding="utf-8"?>
<sst xmlns="http://schemas.openxmlformats.org/spreadsheetml/2006/main" count="72" uniqueCount="47">
  <si>
    <t>Term</t>
  </si>
  <si>
    <t>Loan Amount</t>
  </si>
  <si>
    <t>Note Rate</t>
  </si>
  <si>
    <t>Year</t>
  </si>
  <si>
    <t>Interest Rate</t>
  </si>
  <si>
    <t>2-1 Buydown</t>
  </si>
  <si>
    <t>Borrower Savings</t>
  </si>
  <si>
    <t>Year 1</t>
  </si>
  <si>
    <t>Year 2</t>
  </si>
  <si>
    <t>Monthly</t>
  </si>
  <si>
    <t>Annual</t>
  </si>
  <si>
    <t>Total Savings</t>
  </si>
  <si>
    <t>Monthly Buydown Fee</t>
  </si>
  <si>
    <t>Annual Buydown Fee</t>
  </si>
  <si>
    <t>Loan Scenario</t>
  </si>
  <si>
    <t>1-0 Buydown</t>
  </si>
  <si>
    <t>Loan Type</t>
  </si>
  <si>
    <t>Property Value</t>
  </si>
  <si>
    <t>Conv</t>
  </si>
  <si>
    <t>FHA</t>
  </si>
  <si>
    <t>VA</t>
  </si>
  <si>
    <t>Non-QM</t>
  </si>
  <si>
    <t>LTV</t>
  </si>
  <si>
    <t>Max Contributions:</t>
  </si>
  <si>
    <t>Scenario:</t>
  </si>
  <si>
    <t>Total Payment</t>
  </si>
  <si>
    <t>Borrower Pays</t>
  </si>
  <si>
    <t>Max IPC*</t>
  </si>
  <si>
    <t>% of Loan Amount</t>
  </si>
  <si>
    <t>Occupancy</t>
  </si>
  <si>
    <t>Primary</t>
  </si>
  <si>
    <t>2nd</t>
  </si>
  <si>
    <t>Investment</t>
  </si>
  <si>
    <t>=</t>
  </si>
  <si>
    <t>Equal Housing Lender | Copyright © 2022 Bluepoint Mortgage | 4000 MacArthur Blvd., West Tower – 7th Floor, Newport Beach, CA 92660 | 877.267.1056 | NMLS ID# 320004, BRE# 01403107. Program rates and parameters are subject to change without notice. Intended for use by real estate and lending professionals only and not for distribution to consumer.</t>
  </si>
  <si>
    <t>Instructions: Input loan scenario in light blue fields.</t>
  </si>
  <si>
    <t>Interested Party Contributions</t>
  </si>
  <si>
    <t>Maximum IPC Guidelines</t>
  </si>
  <si>
    <t>Conventional</t>
  </si>
  <si>
    <t>&gt;90%</t>
  </si>
  <si>
    <t>75% - 90%</t>
  </si>
  <si>
    <t>&lt;75%</t>
  </si>
  <si>
    <t>**Lesser of a) % Loan Amount contribution and b) Max IPC.</t>
  </si>
  <si>
    <t>Available buydown funds**</t>
  </si>
  <si>
    <t>Insufficient buydown funds</t>
  </si>
  <si>
    <t>*Based on purchase price. See guidelines matrix.</t>
  </si>
  <si>
    <t>Purchase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</si>
</sst>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0.000%"/>
    <numFmt numFmtId="165" formatCode="&quot;$&quot;#,##0.00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C00000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003057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i/>
      <sz val="14"/>
      <color rgb="FF003057"/>
      <name val="Arial"/>
      <family val="2"/>
    </font>
    <font>
      <b/>
      <sz val="10"/>
      <color rgb="FFC00000"/>
      <name val="Arial"/>
      <family val="2"/>
    </font>
    <font>
      <b/>
      <i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05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8" fontId="0" fillId="0" borderId="0" xfId="0" applyNumberFormat="1"/>
    <xf numFmtId="10" fontId="0" fillId="0" borderId="0" xfId="0" applyNumberFormat="1"/>
    <xf numFmtId="165" fontId="0" fillId="0" borderId="0" xfId="0" applyNumberFormat="1"/>
    <xf numFmtId="0" fontId="1" fillId="0" borderId="0" xfId="0" applyFont="1"/>
    <xf numFmtId="164" fontId="0" fillId="0" borderId="0" xfId="0" applyNumberFormat="1"/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17" xfId="0" applyFont="1" applyBorder="1" applyAlignment="1" applyProtection="1">
      <alignment horizontal="left" vertical="center" wrapText="1"/>
      <protection hidden="1"/>
    </xf>
    <xf numFmtId="165" fontId="4" fillId="0" borderId="17" xfId="0" applyNumberFormat="1" applyFont="1" applyBorder="1" applyAlignment="1" applyProtection="1">
      <alignment vertical="center" wrapText="1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164" fontId="7" fillId="0" borderId="10" xfId="0" applyNumberFormat="1" applyFont="1" applyBorder="1" applyAlignment="1" applyProtection="1">
      <alignment horizontal="center" vertical="center"/>
      <protection hidden="1"/>
    </xf>
    <xf numFmtId="165" fontId="7" fillId="0" borderId="10" xfId="0" applyNumberFormat="1" applyFont="1" applyBorder="1" applyAlignment="1" applyProtection="1">
      <alignment horizontal="center" vertical="center"/>
      <protection hidden="1"/>
    </xf>
    <xf numFmtId="165" fontId="7" fillId="0" borderId="11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4" xfId="0" applyFont="1" applyBorder="1" applyAlignment="1" applyProtection="1">
      <alignment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166" fontId="7" fillId="0" borderId="3" xfId="0" applyNumberFormat="1" applyFont="1" applyBorder="1" applyAlignment="1" applyProtection="1">
      <alignment horizontal="center" vertical="center"/>
      <protection hidden="1"/>
    </xf>
    <xf numFmtId="165" fontId="7" fillId="0" borderId="4" xfId="0" applyNumberFormat="1" applyFont="1" applyBorder="1" applyAlignment="1" applyProtection="1">
      <alignment horizontal="center" vertical="center"/>
      <protection hidden="1"/>
    </xf>
    <xf numFmtId="166" fontId="7" fillId="0" borderId="13" xfId="0" applyNumberFormat="1" applyFont="1" applyBorder="1" applyAlignment="1" applyProtection="1">
      <alignment horizontal="center" vertical="center"/>
      <protection hidden="1"/>
    </xf>
    <xf numFmtId="165" fontId="7" fillId="0" borderId="12" xfId="0" applyNumberFormat="1" applyFont="1" applyBorder="1" applyAlignment="1" applyProtection="1">
      <alignment horizontal="center" vertical="center"/>
      <protection hidden="1"/>
    </xf>
    <xf numFmtId="165" fontId="7" fillId="0" borderId="14" xfId="0" applyNumberFormat="1" applyFont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10" fillId="2" borderId="8" xfId="0" applyFont="1" applyFill="1" applyBorder="1" applyAlignment="1" applyProtection="1">
      <alignment vertical="center"/>
      <protection hidden="1"/>
    </xf>
    <xf numFmtId="165" fontId="6" fillId="2" borderId="6" xfId="0" applyNumberFormat="1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vertical="center"/>
      <protection hidden="1"/>
    </xf>
    <xf numFmtId="165" fontId="7" fillId="3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165" fontId="7" fillId="3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vertical="top" wrapText="1"/>
      <protection hidden="1"/>
    </xf>
    <xf numFmtId="164" fontId="7" fillId="3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vertical="center"/>
      <protection hidden="1"/>
    </xf>
    <xf numFmtId="165" fontId="7" fillId="3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vertical="center" wrapText="1"/>
      <protection hidden="1"/>
    </xf>
    <xf numFmtId="164" fontId="7" fillId="3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hidden="1"/>
    </xf>
    <xf numFmtId="165" fontId="7" fillId="0" borderId="7" xfId="0" applyNumberFormat="1" applyFont="1" applyBorder="1" applyAlignment="1" applyProtection="1">
      <alignment horizontal="center" vertical="center"/>
      <protection hidden="1"/>
    </xf>
    <xf numFmtId="165" fontId="7" fillId="0" borderId="16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6" fillId="2" borderId="21" xfId="0" applyFont="1" applyFill="1" applyBorder="1" applyAlignment="1" applyProtection="1">
      <alignment horizontal="center" vertical="center"/>
      <protection hidden="1"/>
    </xf>
    <xf numFmtId="0" fontId="6" fillId="2" borderId="22" xfId="0" applyFont="1" applyFill="1" applyBorder="1" applyAlignment="1" applyProtection="1">
      <alignment horizontal="center" vertical="center"/>
      <protection hidden="1"/>
    </xf>
    <xf numFmtId="0" fontId="6" fillId="2" borderId="23" xfId="0" applyFont="1" applyFill="1" applyBorder="1" applyAlignment="1" applyProtection="1">
      <alignment horizontal="center" vertical="center"/>
      <protection hidden="1"/>
    </xf>
    <xf numFmtId="165" fontId="7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12" fillId="0" borderId="0" xfId="0" applyFont="1" applyAlignment="1" applyProtection="1">
      <alignment horizontal="left" vertical="top" wrapText="1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164" fontId="7" fillId="0" borderId="16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top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9" fontId="7" fillId="0" borderId="26" xfId="0" applyNumberFormat="1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9" fontId="7" fillId="0" borderId="2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3" fillId="0" borderId="0" xfId="0" applyNumberFormat="1" applyFont="1" applyAlignment="1" applyProtection="1">
      <alignment horizontal="right" vertical="center"/>
      <protection hidden="1"/>
    </xf>
    <xf numFmtId="0" fontId="9" fillId="4" borderId="18" xfId="0" applyFont="1" applyFill="1" applyBorder="1" applyAlignment="1" applyProtection="1">
      <alignment horizontal="center" vertical="center"/>
      <protection hidden="1"/>
    </xf>
    <xf numFmtId="0" fontId="9" fillId="4" borderId="19" xfId="0" applyFont="1" applyFill="1" applyBorder="1" applyAlignment="1" applyProtection="1">
      <alignment horizontal="center" vertical="center"/>
      <protection hidden="1"/>
    </xf>
    <xf numFmtId="0" fontId="9" fillId="4" borderId="20" xfId="0" applyFont="1" applyFill="1" applyBorder="1" applyAlignment="1" applyProtection="1">
      <alignment horizontal="center" vertical="center"/>
      <protection hidden="1"/>
    </xf>
    <xf numFmtId="165" fontId="4" fillId="0" borderId="0" xfId="0" applyNumberFormat="1" applyFont="1" applyAlignment="1" applyProtection="1">
      <alignment horizontal="left" vertical="center" wrapText="1"/>
      <protection hidden="1"/>
    </xf>
    <xf numFmtId="0" fontId="6" fillId="2" borderId="15" xfId="0" applyFont="1" applyFill="1" applyBorder="1" applyAlignment="1" applyProtection="1">
      <alignment horizontal="center" vertical="center" wrapText="1"/>
      <protection hidden="1"/>
    </xf>
    <xf numFmtId="0" fontId="6" fillId="2" borderId="2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9" fontId="7" fillId="0" borderId="27" xfId="0" applyNumberFormat="1" applyFont="1" applyBorder="1" applyAlignment="1" applyProtection="1">
      <alignment horizontal="center" vertical="center"/>
      <protection hidden="1"/>
    </xf>
    <xf numFmtId="9" fontId="7" fillId="0" borderId="26" xfId="0" applyNumberFormat="1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"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</dxfs>
  <tableStyles count="0" defaultTableStyle="TableStyleMedium2" defaultPivotStyle="PivotStyleLight16"/>
  <colors>
    <mruColors>
      <color rgb="FF003057"/>
      <color rgb="FF69B3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1388110</xdr:colOff>
      <xdr:row>6</xdr:row>
      <xdr:rowOff>17182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D9D7B9-19D3-960E-BE03-DE33F313C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23760" cy="1090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F8C93-FD15-47EF-9CE6-57EE38D74847}">
  <dimension ref="A1:F50"/>
  <sheetViews>
    <sheetView showGridLines="0" tabSelected="1" view="pageLayout" zoomScaleNormal="100" workbookViewId="0">
      <selection activeCell="C10" sqref="C10"/>
    </sheetView>
  </sheetViews>
  <sheetFormatPr defaultColWidth="8.54296875" defaultRowHeight="14" x14ac:dyDescent="0.35"/>
  <cols>
    <col min="1" max="1" width="18" style="6" bestFit="1" customWidth="1"/>
    <col min="2" max="2" width="14.08984375" style="6" customWidth="1"/>
    <col min="3" max="3" width="15.90625" style="6" bestFit="1" customWidth="1"/>
    <col min="4" max="4" width="13.81640625" style="6" bestFit="1" customWidth="1"/>
    <col min="5" max="5" width="20" style="6" bestFit="1" customWidth="1"/>
    <col min="6" max="6" width="19.90625" style="6" bestFit="1" customWidth="1"/>
    <col min="7" max="16384" width="8.54296875" style="6"/>
  </cols>
  <sheetData>
    <row r="1" spans="1:6" ht="14.5" customHeight="1" x14ac:dyDescent="0.35">
      <c r="F1" s="7"/>
    </row>
    <row r="8" spans="1:6" x14ac:dyDescent="0.35">
      <c r="B8" s="60" t="s">
        <v>35</v>
      </c>
      <c r="C8" s="61"/>
      <c r="D8" s="61"/>
      <c r="E8" s="62"/>
    </row>
    <row r="10" spans="1:6" ht="15.5" customHeight="1" thickBot="1" x14ac:dyDescent="0.4">
      <c r="A10" s="43" t="s">
        <v>14</v>
      </c>
      <c r="E10" s="43" t="s">
        <v>36</v>
      </c>
    </row>
    <row r="11" spans="1:6" ht="14.5" thickBot="1" x14ac:dyDescent="0.4">
      <c r="A11" s="29" t="s">
        <v>1</v>
      </c>
      <c r="B11" s="30">
        <v>500000</v>
      </c>
      <c r="C11" s="31"/>
      <c r="D11" s="15"/>
      <c r="E11" s="38" t="s">
        <v>28</v>
      </c>
      <c r="F11" s="39">
        <v>0.03</v>
      </c>
    </row>
    <row r="12" spans="1:6" ht="15" customHeight="1" x14ac:dyDescent="0.35">
      <c r="A12" s="32" t="s">
        <v>46</v>
      </c>
      <c r="B12" s="33">
        <v>600000</v>
      </c>
      <c r="C12" s="34"/>
      <c r="D12" s="15"/>
      <c r="E12" s="40" t="s">
        <v>33</v>
      </c>
      <c r="F12" s="41">
        <f>B11*F11</f>
        <v>15000</v>
      </c>
    </row>
    <row r="13" spans="1:6" ht="14.5" customHeight="1" thickBot="1" x14ac:dyDescent="0.4">
      <c r="A13" s="32" t="s">
        <v>2</v>
      </c>
      <c r="B13" s="35">
        <v>0.06</v>
      </c>
      <c r="C13" s="34"/>
      <c r="D13" s="15"/>
      <c r="E13" s="15"/>
      <c r="F13" s="15"/>
    </row>
    <row r="14" spans="1:6" ht="14.5" customHeight="1" thickBot="1" x14ac:dyDescent="0.4">
      <c r="A14" s="32" t="s">
        <v>16</v>
      </c>
      <c r="B14" s="33" t="s">
        <v>18</v>
      </c>
      <c r="C14" s="15"/>
      <c r="D14" s="15"/>
      <c r="E14" s="38" t="s">
        <v>27</v>
      </c>
      <c r="F14" s="52">
        <f>IF(ISNUMBER(VLOOKUP($B$14,'Max Seller Contribution Calc'!$A$7:$B$10,2,FALSE)),VLOOKUP($B$14,'Max Seller Contribution Calc'!$A$7:$C$10,3,FALSE),"N/A")</f>
        <v>0.06</v>
      </c>
    </row>
    <row r="15" spans="1:6" ht="14.5" customHeight="1" thickBot="1" x14ac:dyDescent="0.4">
      <c r="A15" s="36" t="s">
        <v>29</v>
      </c>
      <c r="B15" s="37" t="s">
        <v>30</v>
      </c>
      <c r="C15" s="15"/>
      <c r="D15" s="15"/>
      <c r="E15" s="40" t="s">
        <v>33</v>
      </c>
      <c r="F15" s="41">
        <f>IF(ISNUMBER(VLOOKUP($B$14,'Max Seller Contribution Calc'!$A$7:$B$10,2,FALSE)),VLOOKUP($B$14,'Max Seller Contribution Calc'!$A$7:$C$10,2,FALSE),"N/A")</f>
        <v>36000</v>
      </c>
    </row>
    <row r="16" spans="1:6" ht="14" customHeight="1" x14ac:dyDescent="0.35">
      <c r="A16" s="8"/>
      <c r="B16" s="8"/>
      <c r="C16" s="8"/>
      <c r="E16" s="53" t="s">
        <v>45</v>
      </c>
      <c r="F16" s="48"/>
    </row>
    <row r="17" spans="1:6" ht="18" thickBot="1" x14ac:dyDescent="0.4">
      <c r="B17" s="43" t="s">
        <v>37</v>
      </c>
      <c r="F17" s="48"/>
    </row>
    <row r="18" spans="1:6" s="15" customFormat="1" ht="14.5" customHeight="1" x14ac:dyDescent="0.35">
      <c r="B18" s="50" t="s">
        <v>22</v>
      </c>
      <c r="C18" s="51" t="s">
        <v>38</v>
      </c>
      <c r="D18" s="51" t="s">
        <v>19</v>
      </c>
    </row>
    <row r="19" spans="1:6" s="15" customFormat="1" ht="12.5" customHeight="1" thickBot="1" x14ac:dyDescent="0.4">
      <c r="B19" s="54" t="s">
        <v>39</v>
      </c>
      <c r="C19" s="55">
        <v>0.03</v>
      </c>
      <c r="D19" s="67">
        <v>0.06</v>
      </c>
    </row>
    <row r="20" spans="1:6" s="15" customFormat="1" ht="15" customHeight="1" thickBot="1" x14ac:dyDescent="0.4">
      <c r="B20" s="56" t="s">
        <v>40</v>
      </c>
      <c r="C20" s="57">
        <v>0.06</v>
      </c>
      <c r="D20" s="67"/>
    </row>
    <row r="21" spans="1:6" s="15" customFormat="1" ht="15" customHeight="1" thickBot="1" x14ac:dyDescent="0.4">
      <c r="B21" s="56" t="s">
        <v>41</v>
      </c>
      <c r="C21" s="57">
        <v>0.09</v>
      </c>
      <c r="D21" s="68"/>
    </row>
    <row r="22" spans="1:6" s="15" customFormat="1" ht="13.5" thickBot="1" x14ac:dyDescent="0.4">
      <c r="D22" s="49"/>
    </row>
    <row r="23" spans="1:6" ht="14.5" customHeight="1" thickBot="1" x14ac:dyDescent="0.4">
      <c r="B23" s="64" t="s">
        <v>43</v>
      </c>
      <c r="C23" s="65"/>
      <c r="D23" s="42">
        <f>MIN(F12,F15)</f>
        <v>15000</v>
      </c>
    </row>
    <row r="24" spans="1:6" x14ac:dyDescent="0.35">
      <c r="B24" s="63" t="s">
        <v>42</v>
      </c>
      <c r="C24" s="63"/>
      <c r="D24" s="63"/>
      <c r="E24" s="63"/>
    </row>
    <row r="25" spans="1:6" x14ac:dyDescent="0.35">
      <c r="B25" s="63"/>
      <c r="C25" s="63"/>
      <c r="D25" s="63"/>
      <c r="E25" s="63"/>
    </row>
    <row r="26" spans="1:6" ht="14.5" thickBot="1" x14ac:dyDescent="0.4">
      <c r="A26" s="9"/>
      <c r="B26" s="10"/>
      <c r="C26" s="10"/>
      <c r="D26" s="10"/>
      <c r="E26" s="10"/>
      <c r="F26" s="9"/>
    </row>
    <row r="27" spans="1:6" ht="14.5" thickTop="1" x14ac:dyDescent="0.35"/>
    <row r="28" spans="1:6" ht="18" thickBot="1" x14ac:dyDescent="0.4">
      <c r="A28" s="43" t="s">
        <v>5</v>
      </c>
      <c r="B28" s="15"/>
      <c r="C28" s="58"/>
      <c r="D28" s="15"/>
      <c r="E28" s="15"/>
      <c r="F28" s="15"/>
    </row>
    <row r="29" spans="1:6" x14ac:dyDescent="0.35">
      <c r="A29" s="44" t="s">
        <v>3</v>
      </c>
      <c r="B29" s="45" t="s">
        <v>4</v>
      </c>
      <c r="C29" s="45" t="s">
        <v>25</v>
      </c>
      <c r="D29" s="45" t="s">
        <v>26</v>
      </c>
      <c r="E29" s="45" t="s">
        <v>12</v>
      </c>
      <c r="F29" s="46" t="s">
        <v>13</v>
      </c>
    </row>
    <row r="30" spans="1:6" x14ac:dyDescent="0.35">
      <c r="A30" s="11">
        <v>1</v>
      </c>
      <c r="B30" s="12">
        <f>$B$13-0.02</f>
        <v>3.9999999999999994E-2</v>
      </c>
      <c r="C30" s="13">
        <f>ROUND(-PMT($B$13/12,360,$B$11),2)</f>
        <v>2997.75</v>
      </c>
      <c r="D30" s="13">
        <f>ROUND(-PMT($B30/12,360,$B$11),2)</f>
        <v>2387.08</v>
      </c>
      <c r="E30" s="13">
        <f>C30-D30</f>
        <v>610.67000000000007</v>
      </c>
      <c r="F30" s="14">
        <f>E30*12</f>
        <v>7328.0400000000009</v>
      </c>
    </row>
    <row r="31" spans="1:6" x14ac:dyDescent="0.35">
      <c r="A31" s="11">
        <v>2</v>
      </c>
      <c r="B31" s="12">
        <f>$B$13-0.01</f>
        <v>4.9999999999999996E-2</v>
      </c>
      <c r="C31" s="13">
        <f>ROUND(-PMT($B$13/12,360,$B$11),2)</f>
        <v>2997.75</v>
      </c>
      <c r="D31" s="13">
        <f>ROUND(-PMT($B31/12,360,$B$11),2)</f>
        <v>2684.11</v>
      </c>
      <c r="E31" s="13">
        <f>C31-D31</f>
        <v>313.63999999999987</v>
      </c>
      <c r="F31" s="14">
        <f t="shared" ref="F31" si="0">E31*12</f>
        <v>3763.6799999999985</v>
      </c>
    </row>
    <row r="32" spans="1:6" x14ac:dyDescent="0.35">
      <c r="A32" s="11" t="str">
        <f>"3-"&amp;360/12</f>
        <v>3-30</v>
      </c>
      <c r="B32" s="12">
        <f>$B$13</f>
        <v>0.06</v>
      </c>
      <c r="C32" s="13">
        <f>ROUND(-PMT($B$13/12,360,$B$11),2)</f>
        <v>2997.75</v>
      </c>
      <c r="D32" s="13">
        <f>ROUND(-PMT($B32/12,360,$B$11),2)</f>
        <v>2997.75</v>
      </c>
      <c r="E32" s="15"/>
      <c r="F32" s="16"/>
    </row>
    <row r="33" spans="1:6" x14ac:dyDescent="0.35">
      <c r="A33" s="17" t="s">
        <v>6</v>
      </c>
      <c r="B33" s="18"/>
      <c r="C33" s="18"/>
      <c r="D33" s="18"/>
      <c r="E33" s="19" t="s">
        <v>9</v>
      </c>
      <c r="F33" s="20" t="s">
        <v>10</v>
      </c>
    </row>
    <row r="34" spans="1:6" x14ac:dyDescent="0.35">
      <c r="A34" s="21" t="s">
        <v>7</v>
      </c>
      <c r="B34" s="15"/>
      <c r="C34" s="15"/>
      <c r="D34" s="15"/>
      <c r="E34" s="47">
        <f>E30</f>
        <v>610.67000000000007</v>
      </c>
      <c r="F34" s="22">
        <f>E34*12</f>
        <v>7328.0400000000009</v>
      </c>
    </row>
    <row r="35" spans="1:6" x14ac:dyDescent="0.35">
      <c r="A35" s="23" t="s">
        <v>8</v>
      </c>
      <c r="B35" s="18"/>
      <c r="C35" s="18"/>
      <c r="D35" s="18"/>
      <c r="E35" s="24">
        <f>E31</f>
        <v>313.63999999999987</v>
      </c>
      <c r="F35" s="25">
        <f>E35*12</f>
        <v>3763.6799999999985</v>
      </c>
    </row>
    <row r="36" spans="1:6" ht="14.5" thickBot="1" x14ac:dyDescent="0.4">
      <c r="A36" s="26" t="s">
        <v>11</v>
      </c>
      <c r="B36" s="27"/>
      <c r="C36" s="27"/>
      <c r="D36" s="27"/>
      <c r="E36" s="27"/>
      <c r="F36" s="28">
        <f>SUM(F34:F35)</f>
        <v>11091.72</v>
      </c>
    </row>
    <row r="37" spans="1:6" x14ac:dyDescent="0.35">
      <c r="A37" s="15"/>
      <c r="B37" s="15"/>
      <c r="C37" s="15"/>
      <c r="D37" s="15"/>
      <c r="E37" s="15"/>
      <c r="F37" s="59" t="s">
        <v>44</v>
      </c>
    </row>
    <row r="38" spans="1:6" x14ac:dyDescent="0.35">
      <c r="A38" s="15"/>
      <c r="B38" s="15"/>
      <c r="C38" s="15"/>
      <c r="D38" s="15"/>
      <c r="E38" s="15"/>
      <c r="F38" s="15"/>
    </row>
    <row r="39" spans="1:6" ht="18" thickBot="1" x14ac:dyDescent="0.4">
      <c r="A39" s="43" t="s">
        <v>15</v>
      </c>
      <c r="B39" s="15"/>
      <c r="C39" s="15"/>
      <c r="D39" s="15"/>
      <c r="E39" s="15"/>
      <c r="F39" s="15"/>
    </row>
    <row r="40" spans="1:6" x14ac:dyDescent="0.35">
      <c r="A40" s="44" t="s">
        <v>3</v>
      </c>
      <c r="B40" s="45" t="s">
        <v>4</v>
      </c>
      <c r="C40" s="45" t="s">
        <v>25</v>
      </c>
      <c r="D40" s="45" t="s">
        <v>26</v>
      </c>
      <c r="E40" s="45" t="s">
        <v>12</v>
      </c>
      <c r="F40" s="46" t="s">
        <v>13</v>
      </c>
    </row>
    <row r="41" spans="1:6" x14ac:dyDescent="0.35">
      <c r="A41" s="11">
        <v>1</v>
      </c>
      <c r="B41" s="12">
        <f>$B$13-0.01</f>
        <v>4.9999999999999996E-2</v>
      </c>
      <c r="C41" s="13">
        <f>ROUND(-PMT($B$13/12,360,$B$11),2)</f>
        <v>2997.75</v>
      </c>
      <c r="D41" s="13">
        <f>ROUND(-PMT($B41/12,360,$B$11),2)</f>
        <v>2684.11</v>
      </c>
      <c r="E41" s="13">
        <f>C41-D41</f>
        <v>313.63999999999987</v>
      </c>
      <c r="F41" s="14">
        <f>E41*12</f>
        <v>3763.6799999999985</v>
      </c>
    </row>
    <row r="42" spans="1:6" x14ac:dyDescent="0.35">
      <c r="A42" s="11" t="str">
        <f>"2-"&amp;360/12</f>
        <v>2-30</v>
      </c>
      <c r="B42" s="12">
        <f>$B$13</f>
        <v>0.06</v>
      </c>
      <c r="C42" s="13">
        <f>ROUND(-PMT($B$13/12,360,$B$11),2)</f>
        <v>2997.75</v>
      </c>
      <c r="D42" s="13">
        <f>ROUND(-PMT($B42/12,360,$B$11),2)</f>
        <v>2997.75</v>
      </c>
      <c r="E42" s="15"/>
      <c r="F42" s="16"/>
    </row>
    <row r="43" spans="1:6" x14ac:dyDescent="0.35">
      <c r="A43" s="17" t="s">
        <v>6</v>
      </c>
      <c r="B43" s="18"/>
      <c r="C43" s="18"/>
      <c r="D43" s="18"/>
      <c r="E43" s="19" t="s">
        <v>9</v>
      </c>
      <c r="F43" s="20" t="s">
        <v>10</v>
      </c>
    </row>
    <row r="44" spans="1:6" x14ac:dyDescent="0.35">
      <c r="A44" s="23" t="s">
        <v>7</v>
      </c>
      <c r="B44" s="18"/>
      <c r="C44" s="18"/>
      <c r="D44" s="18"/>
      <c r="E44" s="24">
        <f>E41</f>
        <v>313.63999999999987</v>
      </c>
      <c r="F44" s="25">
        <f>E44*12</f>
        <v>3763.6799999999985</v>
      </c>
    </row>
    <row r="45" spans="1:6" ht="14.5" thickBot="1" x14ac:dyDescent="0.4">
      <c r="A45" s="26" t="s">
        <v>11</v>
      </c>
      <c r="B45" s="27"/>
      <c r="C45" s="27"/>
      <c r="D45" s="27"/>
      <c r="E45" s="27"/>
      <c r="F45" s="28">
        <f>SUM(F43:F44)</f>
        <v>3763.6799999999985</v>
      </c>
    </row>
    <row r="46" spans="1:6" x14ac:dyDescent="0.35">
      <c r="F46" s="59" t="s">
        <v>44</v>
      </c>
    </row>
    <row r="48" spans="1:6" ht="14.5" customHeight="1" x14ac:dyDescent="0.35">
      <c r="A48" s="66" t="s">
        <v>34</v>
      </c>
      <c r="B48" s="66"/>
      <c r="C48" s="66"/>
      <c r="D48" s="66"/>
      <c r="E48" s="66"/>
      <c r="F48" s="66"/>
    </row>
    <row r="49" spans="1:6" x14ac:dyDescent="0.35">
      <c r="A49" s="66"/>
      <c r="B49" s="66"/>
      <c r="C49" s="66"/>
      <c r="D49" s="66"/>
      <c r="E49" s="66"/>
      <c r="F49" s="66"/>
    </row>
    <row r="50" spans="1:6" x14ac:dyDescent="0.35">
      <c r="A50" s="66"/>
      <c r="B50" s="66"/>
      <c r="C50" s="66"/>
      <c r="D50" s="66"/>
      <c r="E50" s="66"/>
      <c r="F50" s="66"/>
    </row>
  </sheetData>
  <sheetProtection algorithmName="SHA-512" hashValue="kWAftyIgfYZMSFmAMaN9K2PhRdN5GOX54f0hIjphNslYei4QmA6wZ4wFSGrDg595G6d0/YP5Bsf3rwBSkeusYw==" saltValue="nKrrfdhciH2th+EnhOyATg==" spinCount="100000" sheet="1" objects="1" scenarios="1"/>
  <mergeCells count="5">
    <mergeCell ref="B8:E8"/>
    <mergeCell ref="B24:E25"/>
    <mergeCell ref="B23:C23"/>
    <mergeCell ref="A48:F50"/>
    <mergeCell ref="D19:D21"/>
  </mergeCells>
  <conditionalFormatting sqref="A30:F35">
    <cfRule type="expression" dxfId="3" priority="5">
      <formula>$F$36&gt;$D$23</formula>
    </cfRule>
  </conditionalFormatting>
  <conditionalFormatting sqref="F37">
    <cfRule type="expression" dxfId="2" priority="4">
      <formula>$F$36&gt;$D$23</formula>
    </cfRule>
  </conditionalFormatting>
  <conditionalFormatting sqref="F46">
    <cfRule type="expression" dxfId="1" priority="2">
      <formula>$F$45&gt;$D$23</formula>
    </cfRule>
  </conditionalFormatting>
  <conditionalFormatting sqref="A41:F44">
    <cfRule type="expression" dxfId="0" priority="1">
      <formula>$F$45&gt;$D$23</formula>
    </cfRule>
  </conditionalFormatting>
  <pageMargins left="0.25" right="0.25" top="0.25" bottom="0.2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0B41548-A191-4E64-B8AB-AA57B66E31AC}">
          <x14:formula1>
            <xm:f>Dropdowns!$B$2:$B$3</xm:f>
          </x14:formula1>
          <xm:sqref>B14</xm:sqref>
        </x14:dataValidation>
        <x14:dataValidation type="list" allowBlank="1" showInputMessage="1" showErrorMessage="1" xr:uid="{3D5C6748-B86B-4335-AA3F-E9352CEF63BC}">
          <x14:formula1>
            <xm:f>Dropdowns!$C$2:$C$3</xm:f>
          </x14:formula1>
          <xm:sqref>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4D258-709C-4AA2-95E4-3BAE84C41912}">
  <dimension ref="A1:C10"/>
  <sheetViews>
    <sheetView workbookViewId="0">
      <selection activeCell="B4" sqref="B4"/>
    </sheetView>
  </sheetViews>
  <sheetFormatPr defaultRowHeight="14.5" x14ac:dyDescent="0.35"/>
  <cols>
    <col min="1" max="1" width="11.7265625" bestFit="1" customWidth="1"/>
    <col min="2" max="2" width="13" bestFit="1" customWidth="1"/>
    <col min="3" max="3" width="12.90625" bestFit="1" customWidth="1"/>
    <col min="4" max="4" width="9.81640625" customWidth="1"/>
    <col min="5" max="5" width="9.81640625" bestFit="1" customWidth="1"/>
  </cols>
  <sheetData>
    <row r="1" spans="1:3" x14ac:dyDescent="0.35">
      <c r="A1" s="4" t="s">
        <v>24</v>
      </c>
    </row>
    <row r="2" spans="1:3" x14ac:dyDescent="0.35">
      <c r="A2" t="s">
        <v>22</v>
      </c>
      <c r="B2" s="2">
        <f>'Temp Buydown Calculator'!B11/'Temp Buydown Calculator'!B12</f>
        <v>0.83333333333333337</v>
      </c>
    </row>
    <row r="3" spans="1:3" x14ac:dyDescent="0.35">
      <c r="A3" t="s">
        <v>17</v>
      </c>
      <c r="B3" s="1">
        <f>'Temp Buydown Calculator'!B12</f>
        <v>600000</v>
      </c>
    </row>
    <row r="4" spans="1:3" x14ac:dyDescent="0.35">
      <c r="A4" t="s">
        <v>29</v>
      </c>
      <c r="B4" s="1" t="s">
        <v>30</v>
      </c>
    </row>
    <row r="6" spans="1:3" x14ac:dyDescent="0.35">
      <c r="A6" s="4" t="s">
        <v>23</v>
      </c>
    </row>
    <row r="7" spans="1:3" x14ac:dyDescent="0.35">
      <c r="A7" t="s">
        <v>18</v>
      </c>
      <c r="B7" s="3">
        <f>IF($B$4="Investment",0.02*$B$3,IF($B$2&gt;0.9,0.03*$B$3,IF(AND($B$2&gt;=0.75,$B$2&lt;=0.9),0.06*$B$3,0.09*$B$3)))</f>
        <v>36000</v>
      </c>
      <c r="C7" s="5">
        <f>IF($B$4="Investment",0.02,IF($B$2&gt;0.9,0.03,IF(AND($B$2&gt;=0.75,$B$2&lt;=0.9),0.06,0.09)))</f>
        <v>0.06</v>
      </c>
    </row>
    <row r="8" spans="1:3" x14ac:dyDescent="0.35">
      <c r="A8" t="s">
        <v>19</v>
      </c>
      <c r="B8" s="3">
        <f>0.06*$B$3</f>
        <v>36000</v>
      </c>
      <c r="C8" s="5">
        <f>0.06</f>
        <v>0.06</v>
      </c>
    </row>
    <row r="9" spans="1:3" x14ac:dyDescent="0.35">
      <c r="A9" t="s">
        <v>20</v>
      </c>
      <c r="B9" s="3">
        <f>0.04*$B$3</f>
        <v>24000</v>
      </c>
      <c r="C9" s="5">
        <f>0.04</f>
        <v>0.04</v>
      </c>
    </row>
    <row r="10" spans="1:3" x14ac:dyDescent="0.35">
      <c r="A10" t="s">
        <v>21</v>
      </c>
      <c r="B10" s="3">
        <f>IF(OR($B$2&gt;=0.8,$B$4="2nd",$B$4="Investment"),0.03*$B$3,0.06*$B$3)</f>
        <v>18000</v>
      </c>
      <c r="C10" s="5">
        <f>IF(OR($B$2&gt;=0.8,$B$4="2nd",$B$4="Investment"),0.03,0.06)</f>
        <v>0.03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115B8-6737-4D42-9C6F-CAD4607C8028}">
  <dimension ref="A1:C5"/>
  <sheetViews>
    <sheetView workbookViewId="0">
      <selection activeCell="B4" sqref="B4"/>
    </sheetView>
  </sheetViews>
  <sheetFormatPr defaultRowHeight="14.5" x14ac:dyDescent="0.35"/>
  <cols>
    <col min="1" max="1" width="5.1796875" bestFit="1" customWidth="1"/>
    <col min="2" max="2" width="11.81640625" bestFit="1" customWidth="1"/>
  </cols>
  <sheetData>
    <row r="1" spans="1:3" x14ac:dyDescent="0.35">
      <c r="A1" t="s">
        <v>0</v>
      </c>
      <c r="B1" t="s">
        <v>16</v>
      </c>
      <c r="C1" t="s">
        <v>29</v>
      </c>
    </row>
    <row r="2" spans="1:3" x14ac:dyDescent="0.35">
      <c r="A2">
        <v>180</v>
      </c>
      <c r="B2" t="s">
        <v>18</v>
      </c>
      <c r="C2" t="s">
        <v>30</v>
      </c>
    </row>
    <row r="3" spans="1:3" x14ac:dyDescent="0.35">
      <c r="A3">
        <v>360</v>
      </c>
      <c r="B3" t="s">
        <v>19</v>
      </c>
      <c r="C3" t="s">
        <v>31</v>
      </c>
    </row>
    <row r="4" spans="1:3" x14ac:dyDescent="0.35">
      <c r="B4" t="s">
        <v>20</v>
      </c>
      <c r="C4" t="s">
        <v>32</v>
      </c>
    </row>
    <row r="5" spans="1:3" x14ac:dyDescent="0.35">
      <c r="B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 Buydown Calculator</vt:lpstr>
      <vt:lpstr>Max Seller Contribution Calc</vt:lpstr>
      <vt:lpstr>Dropdowns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Ma</dc:creator>
  <cp:lastModifiedBy>Brian Ma</cp:lastModifiedBy>
  <cp:lastPrinted>2022-10-10T17:35:14Z</cp:lastPrinted>
  <dcterms:created xsi:type="dcterms:W3CDTF">2022-06-28T19:59:27Z</dcterms:created>
  <dcterms:modified xsi:type="dcterms:W3CDTF">2022-10-25T18:25:23Z</dcterms:modified>
</cp:coreProperties>
</file>