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luepointmortgagecom-my.sharepoint.com/personal/bma_bluepointmtg_com/Documents/Desktop/Projects/Calculators/"/>
    </mc:Choice>
  </mc:AlternateContent>
  <xr:revisionPtr revIDLastSave="95" documentId="13_ncr:1_{8BC23989-5739-485C-929B-24A04C83F297}" xr6:coauthVersionLast="47" xr6:coauthVersionMax="47" xr10:uidLastSave="{D1A7AF9B-5C99-49C8-B9B1-21F379B664FB}"/>
  <workbookProtection workbookAlgorithmName="SHA-512" workbookHashValue="M6sCGj4zu/qfL7axtUbhxh4h4q7c+B6mehKvWuBc9SdxTaAsqe9qBdpNnTSsYDGlGWAFKUqzIklelpqBZoB2BA==" workbookSaltValue="XSV240OHCvCyb0Gz2HKMIg==" workbookSpinCount="100000" lockStructure="1"/>
  <bookViews>
    <workbookView xWindow="-103" yWindow="-103" windowWidth="19406" windowHeight="11606" xr2:uid="{2676D87A-3D42-47F3-9F0D-0F3535803740}"/>
  </bookViews>
  <sheets>
    <sheet name="Rate Calculator" sheetId="3" r:id="rId1"/>
    <sheet name="Rate Sheet" sheetId="4" state="hidden" r:id="rId2"/>
    <sheet name="Dropdowns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3" l="1"/>
  <c r="D28" i="3"/>
  <c r="D29" i="3"/>
  <c r="C15" i="3"/>
  <c r="D30" i="3" s="1"/>
  <c r="C59" i="4"/>
  <c r="V65" i="4" s="1"/>
  <c r="I65" i="4" l="1"/>
  <c r="J65" i="4"/>
  <c r="M65" i="4"/>
  <c r="O65" i="4"/>
  <c r="P65" i="4"/>
  <c r="Q65" i="4"/>
  <c r="G65" i="4"/>
  <c r="W65" i="4"/>
  <c r="E65" i="4"/>
  <c r="H65" i="4"/>
  <c r="K65" i="4"/>
  <c r="S65" i="4"/>
  <c r="R65" i="4"/>
  <c r="D65" i="4"/>
  <c r="L65" i="4"/>
  <c r="T65" i="4"/>
  <c r="U65" i="4"/>
  <c r="F65" i="4"/>
  <c r="N65" i="4"/>
  <c r="C69" i="4"/>
  <c r="C68" i="4"/>
  <c r="C67" i="4"/>
  <c r="C66" i="4"/>
  <c r="C47" i="4"/>
  <c r="C46" i="4"/>
  <c r="C45" i="4"/>
  <c r="C44" i="4"/>
  <c r="C43" i="4"/>
  <c r="C42" i="4"/>
  <c r="C33" i="4"/>
  <c r="C32" i="4"/>
  <c r="C31" i="4"/>
  <c r="C30" i="4"/>
  <c r="C29" i="4"/>
  <c r="C28" i="4"/>
  <c r="H27" i="4"/>
  <c r="G27" i="4"/>
  <c r="F27" i="4"/>
  <c r="E27" i="4"/>
  <c r="D27" i="4"/>
  <c r="C53" i="4"/>
  <c r="C4" i="4"/>
  <c r="C37" i="4"/>
  <c r="E41" i="4" s="1"/>
  <c r="G41" i="4" l="1"/>
  <c r="F41" i="4"/>
  <c r="D41" i="4"/>
  <c r="C5" i="4"/>
  <c r="C52" i="4" l="1"/>
  <c r="C55" i="4" s="1"/>
  <c r="C6" i="4"/>
  <c r="C8" i="4" s="1"/>
  <c r="C24" i="3" s="1"/>
  <c r="D24" i="3" s="1"/>
  <c r="E22" i="3" l="1"/>
  <c r="F22" i="3" s="1"/>
  <c r="E20" i="3"/>
  <c r="F20" i="3" s="1"/>
  <c r="E21" i="3"/>
  <c r="E23" i="3"/>
  <c r="F23" i="3" s="1"/>
  <c r="F21" i="3" l="1"/>
</calcChain>
</file>

<file path=xl/sharedStrings.xml><?xml version="1.0" encoding="utf-8"?>
<sst xmlns="http://schemas.openxmlformats.org/spreadsheetml/2006/main" count="149" uniqueCount="78">
  <si>
    <t>Instructions: Input loan scenario in light blue fields to calculate rates.</t>
  </si>
  <si>
    <t>Loan Scenario</t>
  </si>
  <si>
    <t>Fees</t>
  </si>
  <si>
    <t>1st Lien Balance</t>
  </si>
  <si>
    <t>Admin</t>
  </si>
  <si>
    <t>Underwriting*</t>
  </si>
  <si>
    <t>Property Value</t>
  </si>
  <si>
    <t>Lock Extension**</t>
  </si>
  <si>
    <t>15 days / 0.125% cost</t>
  </si>
  <si>
    <t>Occupancy</t>
  </si>
  <si>
    <t>Primary</t>
  </si>
  <si>
    <t>*Buyout unavailable</t>
  </si>
  <si>
    <t>FICO (680-850)</t>
  </si>
  <si>
    <t>**Max 30-day extension</t>
  </si>
  <si>
    <t>Self-Employed?</t>
  </si>
  <si>
    <t>No</t>
  </si>
  <si>
    <t>Rates assume 30-day lock period
Max Broker Compensation 2%</t>
  </si>
  <si>
    <t>Closed-End 2nd Rates</t>
  </si>
  <si>
    <t>Term (Yrs)</t>
  </si>
  <si>
    <t>Interest Rate</t>
  </si>
  <si>
    <t>Payment</t>
  </si>
  <si>
    <t>30 Due in 15</t>
  </si>
  <si>
    <t>Eligibility Notes</t>
  </si>
  <si>
    <t>HELOC</t>
  </si>
  <si>
    <t>Closed-End 2nd</t>
  </si>
  <si>
    <t>FICO</t>
  </si>
  <si>
    <t>Guidelines At a Glance</t>
  </si>
  <si>
    <t xml:space="preserve"> • $100K</t>
  </si>
  <si>
    <t xml:space="preserve"> • $250K</t>
  </si>
  <si>
    <t xml:space="preserve"> • Primary Residence: 85%
 • 2nd Home: 80%</t>
  </si>
  <si>
    <t>Min FICO</t>
  </si>
  <si>
    <t xml:space="preserve"> • 680</t>
  </si>
  <si>
    <t>Max DTI</t>
  </si>
  <si>
    <t xml:space="preserve"> • 45%</t>
  </si>
  <si>
    <t>Self-Employed Restrictions</t>
  </si>
  <si>
    <t xml:space="preserve"> • 2nd Home: Max CLTV 70%
 • Min FICO 720</t>
  </si>
  <si>
    <t>Closed-End Second</t>
  </si>
  <si>
    <t>Rate Adj Calculation</t>
  </si>
  <si>
    <t>OCCUPANCY</t>
  </si>
  <si>
    <t>FICO / LOAN AMT</t>
  </si>
  <si>
    <t>FICO / CLTV</t>
  </si>
  <si>
    <t>TOTAL RATE ADJ</t>
  </si>
  <si>
    <t>Base Rate / Term</t>
  </si>
  <si>
    <t>BASE RATE</t>
  </si>
  <si>
    <t>60 MONTH TERM</t>
  </si>
  <si>
    <t>120 MONTH TERM</t>
  </si>
  <si>
    <t>180 MONTH TERM</t>
  </si>
  <si>
    <t>240 MONTH TERM</t>
  </si>
  <si>
    <t>360 MONTH TERM</t>
  </si>
  <si>
    <t>OO</t>
  </si>
  <si>
    <t>2ND</t>
  </si>
  <si>
    <t>2nd</t>
  </si>
  <si>
    <t>FICO / Loan Amt</t>
  </si>
  <si>
    <t>LOAN AMT</t>
  </si>
  <si>
    <t>&gt;</t>
  </si>
  <si>
    <t>&lt;=</t>
  </si>
  <si>
    <t>X</t>
  </si>
  <si>
    <t>CLTV</t>
  </si>
  <si>
    <t>FICO / LINE AMT</t>
  </si>
  <si>
    <t>HCLTV Calculation</t>
  </si>
  <si>
    <t>HCLTV</t>
  </si>
  <si>
    <t>FICO / Line Amt</t>
  </si>
  <si>
    <t>HCLTV &lt;=70%</t>
  </si>
  <si>
    <t>HCLTV &gt;70%-80%</t>
  </si>
  <si>
    <t>HCLTV &gt;80%-89.990%</t>
  </si>
  <si>
    <t>HCLTV &gt;89.990%</t>
  </si>
  <si>
    <t>Line Amt</t>
  </si>
  <si>
    <t>Misc</t>
  </si>
  <si>
    <t>PUR</t>
  </si>
  <si>
    <t>RT</t>
  </si>
  <si>
    <t>CASHOUT</t>
  </si>
  <si>
    <t>Yes/No</t>
  </si>
  <si>
    <t>Yes</t>
  </si>
  <si>
    <t>Loan Amt</t>
  </si>
  <si>
    <t>Equal Housing Lender | Copyright © 2023 Bluepoint Mortgage | 4000 MacArthur Blvd., West Tower – 7th Floor, Newport Beach, CA 92660 | 877.267.1056 | NMLS ID# 320004, BRE# 01403107. Program rates and parameters are subject to change without notice. Intended for use by real estate and lending professionals only and not for distribution to consumer.</t>
  </si>
  <si>
    <t>Max Loan Amt</t>
  </si>
  <si>
    <t>Min Loan Amt</t>
  </si>
  <si>
    <t>Max CLTV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</si>
</sst>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%"/>
    <numFmt numFmtId="165" formatCode="&quot;$&quot;#,##0.00"/>
    <numFmt numFmtId="166" formatCode="0.000"/>
    <numFmt numFmtId="167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rgb="FF003057"/>
      <name val="Arial"/>
      <family val="2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Arial"/>
      <family val="2"/>
    </font>
    <font>
      <b/>
      <sz val="10"/>
      <color rgb="FFC0000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305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165" fontId="3" fillId="0" borderId="14" xfId="0" applyNumberFormat="1" applyFont="1" applyBorder="1" applyAlignment="1" applyProtection="1">
      <alignment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164" fontId="6" fillId="0" borderId="10" xfId="0" applyNumberFormat="1" applyFont="1" applyBorder="1" applyAlignment="1" applyProtection="1">
      <alignment horizontal="center" vertical="center"/>
      <protection hidden="1"/>
    </xf>
    <xf numFmtId="165" fontId="6" fillId="0" borderId="1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vertical="center"/>
      <protection hidden="1"/>
    </xf>
    <xf numFmtId="165" fontId="6" fillId="3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vertical="center"/>
      <protection hidden="1"/>
    </xf>
    <xf numFmtId="165" fontId="6" fillId="3" borderId="4" xfId="0" applyNumberFormat="1" applyFont="1" applyFill="1" applyBorder="1" applyAlignment="1" applyProtection="1">
      <alignment horizontal="center" vertical="center"/>
      <protection locked="0"/>
    </xf>
    <xf numFmtId="164" fontId="6" fillId="3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9" fillId="5" borderId="0" xfId="0" applyFont="1" applyFill="1" applyAlignment="1">
      <alignment vertical="top"/>
    </xf>
    <xf numFmtId="166" fontId="9" fillId="5" borderId="0" xfId="0" applyNumberFormat="1" applyFont="1" applyFill="1" applyAlignment="1">
      <alignment vertical="top"/>
    </xf>
    <xf numFmtId="0" fontId="10" fillId="0" borderId="0" xfId="0" applyFont="1" applyAlignment="1">
      <alignment vertical="top"/>
    </xf>
    <xf numFmtId="166" fontId="10" fillId="6" borderId="10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2" fillId="7" borderId="0" xfId="0" applyFont="1" applyFill="1" applyAlignment="1">
      <alignment vertical="top"/>
    </xf>
    <xf numFmtId="166" fontId="12" fillId="7" borderId="0" xfId="0" applyNumberFormat="1" applyFont="1" applyFill="1" applyAlignment="1">
      <alignment vertical="top"/>
    </xf>
    <xf numFmtId="0" fontId="13" fillId="0" borderId="0" xfId="0" applyFont="1" applyAlignment="1">
      <alignment vertical="top"/>
    </xf>
    <xf numFmtId="166" fontId="13" fillId="0" borderId="0" xfId="0" applyNumberFormat="1" applyFont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166" fontId="11" fillId="0" borderId="0" xfId="0" applyNumberFormat="1" applyFont="1" applyAlignment="1">
      <alignment vertical="top"/>
    </xf>
    <xf numFmtId="0" fontId="11" fillId="0" borderId="4" xfId="0" applyFont="1" applyBorder="1" applyAlignment="1">
      <alignment vertical="top"/>
    </xf>
    <xf numFmtId="0" fontId="14" fillId="0" borderId="0" xfId="0" applyFont="1" applyAlignment="1">
      <alignment vertical="top"/>
    </xf>
    <xf numFmtId="166" fontId="10" fillId="6" borderId="11" xfId="0" applyNumberFormat="1" applyFont="1" applyFill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166" fontId="10" fillId="6" borderId="18" xfId="0" applyNumberFormat="1" applyFont="1" applyFill="1" applyBorder="1" applyAlignment="1">
      <alignment vertical="top"/>
    </xf>
    <xf numFmtId="166" fontId="10" fillId="6" borderId="19" xfId="0" applyNumberFormat="1" applyFont="1" applyFill="1" applyBorder="1" applyAlignment="1">
      <alignment vertical="top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164" fontId="6" fillId="0" borderId="18" xfId="0" applyNumberFormat="1" applyFont="1" applyBorder="1" applyAlignment="1" applyProtection="1">
      <alignment horizontal="center" vertical="center"/>
      <protection hidden="1"/>
    </xf>
    <xf numFmtId="165" fontId="6" fillId="0" borderId="19" xfId="0" applyNumberFormat="1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>
      <alignment vertical="top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3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18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4" fontId="6" fillId="0" borderId="13" xfId="0" applyNumberFormat="1" applyFont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7" fillId="2" borderId="12" xfId="0" applyFont="1" applyFill="1" applyBorder="1" applyAlignment="1" applyProtection="1">
      <alignment horizontal="center" vertical="center"/>
      <protection hidden="1"/>
    </xf>
    <xf numFmtId="0" fontId="17" fillId="2" borderId="25" xfId="0" applyFont="1" applyFill="1" applyBorder="1" applyAlignment="1" applyProtection="1">
      <alignment horizontal="center" vertical="center"/>
      <protection hidden="1"/>
    </xf>
    <xf numFmtId="0" fontId="17" fillId="2" borderId="13" xfId="0" applyFont="1" applyFill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7" fillId="2" borderId="1" xfId="0" applyFont="1" applyFill="1" applyBorder="1" applyAlignment="1" applyProtection="1">
      <alignment horizontal="center" vertical="center"/>
      <protection hidden="1"/>
    </xf>
    <xf numFmtId="0" fontId="17" fillId="2" borderId="7" xfId="0" applyFont="1" applyFill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8" borderId="20" xfId="0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8" borderId="20" xfId="0" applyFont="1" applyFill="1" applyBorder="1" applyAlignment="1" applyProtection="1">
      <alignment horizontal="left" vertical="center"/>
      <protection hidden="1"/>
    </xf>
    <xf numFmtId="0" fontId="1" fillId="0" borderId="20" xfId="0" applyFont="1" applyBorder="1" applyAlignment="1" applyProtection="1">
      <alignment horizontal="left" vertical="center" wrapText="1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9" fontId="6" fillId="0" borderId="7" xfId="0" applyNumberFormat="1" applyFont="1" applyBorder="1" applyAlignment="1" applyProtection="1">
      <alignment horizontal="center" vertical="center"/>
      <protection hidden="1"/>
    </xf>
    <xf numFmtId="9" fontId="6" fillId="0" borderId="2" xfId="0" applyNumberFormat="1" applyFont="1" applyBorder="1" applyAlignment="1" applyProtection="1">
      <alignment horizontal="center" vertical="center"/>
      <protection hidden="1"/>
    </xf>
    <xf numFmtId="164" fontId="6" fillId="0" borderId="8" xfId="0" applyNumberFormat="1" applyFont="1" applyBorder="1" applyAlignment="1" applyProtection="1">
      <alignment horizontal="center" vertical="center"/>
      <protection hidden="1"/>
    </xf>
    <xf numFmtId="164" fontId="6" fillId="0" borderId="6" xfId="0" applyNumberFormat="1" applyFont="1" applyBorder="1" applyAlignment="1" applyProtection="1">
      <alignment horizontal="center" vertical="center"/>
      <protection hidden="1"/>
    </xf>
    <xf numFmtId="167" fontId="6" fillId="0" borderId="0" xfId="0" applyNumberFormat="1" applyFont="1" applyAlignment="1" applyProtection="1">
      <alignment horizontal="center" vertical="center"/>
      <protection hidden="1"/>
    </xf>
    <xf numFmtId="167" fontId="6" fillId="0" borderId="4" xfId="0" applyNumberFormat="1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center" vertical="center"/>
      <protection hidden="1"/>
    </xf>
    <xf numFmtId="0" fontId="19" fillId="0" borderId="5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0" borderId="6" xfId="0" applyFont="1" applyBorder="1" applyAlignment="1" applyProtection="1">
      <alignment horizontal="center" vertical="center"/>
      <protection hidden="1"/>
    </xf>
    <xf numFmtId="0" fontId="1" fillId="8" borderId="20" xfId="0" applyFont="1" applyFill="1" applyBorder="1" applyAlignment="1" applyProtection="1">
      <alignment horizontal="left" vertical="center" wrapText="1"/>
      <protection hidden="1"/>
    </xf>
    <xf numFmtId="0" fontId="2" fillId="8" borderId="2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14" fillId="0" borderId="12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</cellXfs>
  <cellStyles count="1">
    <cellStyle name="Normal" xfId="0" builtinId="0"/>
  </cellStyles>
  <dxfs count="2">
    <dxf>
      <font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003057"/>
      <color rgb="FF69B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48</xdr:row>
      <xdr:rowOff>120650</xdr:rowOff>
    </xdr:from>
    <xdr:to>
      <xdr:col>8</xdr:col>
      <xdr:colOff>889000</xdr:colOff>
      <xdr:row>52</xdr:row>
      <xdr:rowOff>50800</xdr:rowOff>
    </xdr:to>
    <xdr:pic>
      <xdr:nvPicPr>
        <xdr:cNvPr id="2" name="Picture 1" descr="Equal Housing Opportunity Logo">
          <a:extLst>
            <a:ext uri="{FF2B5EF4-FFF2-40B4-BE49-F238E27FC236}">
              <a16:creationId xmlns:a16="http://schemas.microsoft.com/office/drawing/2014/main" id="{AB24A8B2-4C16-0E02-8CF9-26FE493D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2450" y="9582150"/>
          <a:ext cx="641350" cy="64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16328</xdr:colOff>
      <xdr:row>4</xdr:row>
      <xdr:rowOff>49477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22C5E7-ECCF-9254-D312-3CB50A44F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17628" cy="767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F8C93-FD15-47EF-9CE6-57EE38D74847}">
  <sheetPr>
    <pageSetUpPr autoPageBreaks="0"/>
  </sheetPr>
  <dimension ref="A1:I52"/>
  <sheetViews>
    <sheetView showGridLines="0" tabSelected="1" zoomScaleNormal="100" zoomScaleSheetLayoutView="115" workbookViewId="0">
      <selection activeCell="J4" sqref="J4"/>
    </sheetView>
  </sheetViews>
  <sheetFormatPr defaultColWidth="8.69140625" defaultRowHeight="14.15" x14ac:dyDescent="0.4"/>
  <cols>
    <col min="1" max="1" width="20.23046875" style="1" bestFit="1" customWidth="1"/>
    <col min="2" max="9" width="15.84375" style="1" customWidth="1"/>
    <col min="10" max="16384" width="8.69140625" style="1"/>
  </cols>
  <sheetData>
    <row r="1" spans="1:9" ht="14.5" customHeight="1" x14ac:dyDescent="0.4">
      <c r="A1" s="79"/>
      <c r="B1" s="79"/>
      <c r="C1" s="79"/>
      <c r="D1" s="79"/>
      <c r="E1" s="79"/>
      <c r="F1" s="79"/>
      <c r="G1" s="79"/>
      <c r="H1" s="79"/>
      <c r="I1" s="79"/>
    </row>
    <row r="2" spans="1:9" ht="14.5" customHeight="1" x14ac:dyDescent="0.4">
      <c r="A2" s="79"/>
      <c r="B2" s="79"/>
      <c r="C2" s="79"/>
      <c r="D2" s="79"/>
      <c r="E2" s="79"/>
      <c r="F2" s="79"/>
      <c r="G2" s="79"/>
      <c r="H2" s="79"/>
      <c r="I2" s="79"/>
    </row>
    <row r="3" spans="1:9" ht="14.5" customHeight="1" x14ac:dyDescent="0.4">
      <c r="A3" s="79"/>
      <c r="B3" s="79"/>
      <c r="C3" s="79"/>
      <c r="D3" s="79"/>
      <c r="E3" s="79"/>
      <c r="F3" s="79"/>
      <c r="G3" s="79"/>
      <c r="H3" s="79"/>
      <c r="I3" s="79"/>
    </row>
    <row r="4" spans="1:9" ht="14.15" customHeight="1" x14ac:dyDescent="0.4">
      <c r="A4" s="79"/>
      <c r="B4" s="79"/>
      <c r="C4" s="79"/>
      <c r="D4" s="79"/>
      <c r="E4" s="79"/>
      <c r="F4" s="79"/>
      <c r="G4" s="79"/>
      <c r="H4" s="79"/>
      <c r="I4" s="79"/>
    </row>
    <row r="6" spans="1:9" x14ac:dyDescent="0.4">
      <c r="C6" s="80" t="s">
        <v>0</v>
      </c>
      <c r="D6" s="81"/>
      <c r="E6" s="81"/>
      <c r="F6" s="82"/>
    </row>
    <row r="8" spans="1:9" ht="15.65" customHeight="1" thickBot="1" x14ac:dyDescent="0.45">
      <c r="B8" s="13" t="s">
        <v>1</v>
      </c>
      <c r="F8" s="13" t="s">
        <v>2</v>
      </c>
      <c r="G8" s="49"/>
      <c r="H8" s="7"/>
    </row>
    <row r="9" spans="1:9" ht="14.5" customHeight="1" x14ac:dyDescent="0.4">
      <c r="B9" s="8" t="s">
        <v>3</v>
      </c>
      <c r="C9" s="9">
        <v>800000</v>
      </c>
      <c r="F9" s="44" t="s">
        <v>4</v>
      </c>
      <c r="G9" s="83" t="str">
        <f>"(1 Point) $"&amp;0.01*C10</f>
        <v>(1 Point) $1000</v>
      </c>
      <c r="H9" s="84"/>
    </row>
    <row r="10" spans="1:9" ht="14.5" customHeight="1" x14ac:dyDescent="0.4">
      <c r="B10" s="10" t="s">
        <v>73</v>
      </c>
      <c r="C10" s="11">
        <v>100000</v>
      </c>
      <c r="F10" s="55" t="s">
        <v>5</v>
      </c>
      <c r="G10" s="87">
        <v>995</v>
      </c>
      <c r="H10" s="88"/>
    </row>
    <row r="11" spans="1:9" ht="14.6" thickBot="1" x14ac:dyDescent="0.45">
      <c r="B11" s="10" t="s">
        <v>6</v>
      </c>
      <c r="C11" s="11">
        <v>1250000</v>
      </c>
      <c r="F11" s="50" t="s">
        <v>7</v>
      </c>
      <c r="G11" s="85" t="s">
        <v>8</v>
      </c>
      <c r="H11" s="86"/>
    </row>
    <row r="12" spans="1:9" ht="14.5" customHeight="1" x14ac:dyDescent="0.4">
      <c r="B12" s="10" t="s">
        <v>9</v>
      </c>
      <c r="C12" s="12" t="s">
        <v>10</v>
      </c>
      <c r="E12" s="7"/>
      <c r="F12" s="53" t="s">
        <v>11</v>
      </c>
    </row>
    <row r="13" spans="1:9" ht="14.5" customHeight="1" thickBot="1" x14ac:dyDescent="0.45">
      <c r="B13" s="10" t="s">
        <v>12</v>
      </c>
      <c r="C13" s="46">
        <v>745</v>
      </c>
      <c r="F13" s="53" t="s">
        <v>13</v>
      </c>
    </row>
    <row r="14" spans="1:9" ht="14.5" customHeight="1" thickBot="1" x14ac:dyDescent="0.45">
      <c r="B14" s="10" t="s">
        <v>14</v>
      </c>
      <c r="C14" s="46" t="s">
        <v>15</v>
      </c>
      <c r="E14" s="7"/>
      <c r="F14" s="89" t="s">
        <v>16</v>
      </c>
      <c r="G14" s="90"/>
      <c r="H14" s="91"/>
    </row>
    <row r="15" spans="1:9" ht="14.5" customHeight="1" thickBot="1" x14ac:dyDescent="0.45">
      <c r="B15" s="45" t="s">
        <v>57</v>
      </c>
      <c r="C15" s="54">
        <f>(C9+C10)/C11</f>
        <v>0.72</v>
      </c>
      <c r="D15" s="7"/>
      <c r="E15" s="7"/>
      <c r="F15" s="92"/>
      <c r="G15" s="93"/>
      <c r="H15" s="94"/>
    </row>
    <row r="16" spans="1:9" ht="14.6" thickBot="1" x14ac:dyDescent="0.45">
      <c r="A16" s="2"/>
      <c r="B16" s="3"/>
      <c r="C16" s="3"/>
      <c r="D16" s="3"/>
      <c r="E16" s="2"/>
      <c r="F16" s="2"/>
      <c r="G16" s="2"/>
      <c r="H16" s="2"/>
      <c r="I16" s="2"/>
    </row>
    <row r="17" spans="1:6" ht="14.6" thickTop="1" x14ac:dyDescent="0.4"/>
    <row r="18" spans="1:6" ht="18" thickBot="1" x14ac:dyDescent="0.45">
      <c r="D18" s="13" t="s">
        <v>17</v>
      </c>
      <c r="E18" s="7"/>
      <c r="F18" s="7"/>
    </row>
    <row r="19" spans="1:6" x14ac:dyDescent="0.4">
      <c r="D19" s="37" t="s">
        <v>18</v>
      </c>
      <c r="E19" s="38" t="s">
        <v>19</v>
      </c>
      <c r="F19" s="39" t="s">
        <v>20</v>
      </c>
    </row>
    <row r="20" spans="1:6" x14ac:dyDescent="0.4">
      <c r="D20" s="4">
        <v>5</v>
      </c>
      <c r="E20" s="5">
        <f>('Rate Sheet'!E$12+'Rate Sheet'!E13+'Rate Sheet'!$C$8)/100</f>
        <v>0.08</v>
      </c>
      <c r="F20" s="6">
        <f>-PMT(E20/12,LEFT(D20,2)*12,$C$10)</f>
        <v>2027.6394288413683</v>
      </c>
    </row>
    <row r="21" spans="1:6" ht="14.5" customHeight="1" x14ac:dyDescent="0.4">
      <c r="D21" s="4">
        <v>10</v>
      </c>
      <c r="E21" s="5">
        <f>('Rate Sheet'!E$12+'Rate Sheet'!E14+'Rate Sheet'!$C$8)/100</f>
        <v>8.5000000000000006E-2</v>
      </c>
      <c r="F21" s="6">
        <f>-PMT(E21/12,LEFT(D21,2)*12,$C$10)</f>
        <v>1239.8568887451113</v>
      </c>
    </row>
    <row r="22" spans="1:6" x14ac:dyDescent="0.4">
      <c r="D22" s="4">
        <v>15</v>
      </c>
      <c r="E22" s="5">
        <f>('Rate Sheet'!E$12+'Rate Sheet'!E15+'Rate Sheet'!$C$8)/100</f>
        <v>0.09</v>
      </c>
      <c r="F22" s="6">
        <f>-PMT(E22/12,LEFT(D22,2)*12,$C$10)</f>
        <v>1014.2665841617849</v>
      </c>
    </row>
    <row r="23" spans="1:6" ht="14.6" thickBot="1" x14ac:dyDescent="0.45">
      <c r="D23" s="40">
        <v>20</v>
      </c>
      <c r="E23" s="41">
        <f>('Rate Sheet'!E$12+'Rate Sheet'!E16+'Rate Sheet'!$C$8)/100</f>
        <v>9.7500000000000003E-2</v>
      </c>
      <c r="F23" s="42">
        <f>-PMT(E23/12,LEFT(D23,2)*12,$C$10)</f>
        <v>948.51685057611655</v>
      </c>
    </row>
    <row r="24" spans="1:6" ht="14.6" hidden="1" thickBot="1" x14ac:dyDescent="0.45">
      <c r="B24" s="40" t="s">
        <v>21</v>
      </c>
      <c r="C24" s="41">
        <f>('Rate Sheet'!E$12+'Rate Sheet'!E17+'Rate Sheet'!$C$8)/100</f>
        <v>0.1</v>
      </c>
      <c r="D24" s="42">
        <f>-PMT(C24/12,LEFT(B24,2)*12,$C$10)</f>
        <v>877.57157008879869</v>
      </c>
      <c r="E24" s="7"/>
    </row>
    <row r="25" spans="1:6" x14ac:dyDescent="0.4">
      <c r="A25" s="47"/>
      <c r="B25" s="48"/>
      <c r="C25" s="49"/>
      <c r="D25" s="7"/>
      <c r="E25" s="7"/>
    </row>
    <row r="26" spans="1:6" ht="18" thickBot="1" x14ac:dyDescent="0.45">
      <c r="A26" s="13" t="s">
        <v>22</v>
      </c>
    </row>
    <row r="27" spans="1:6" ht="15.9" thickBot="1" x14ac:dyDescent="0.45">
      <c r="D27" s="62" t="s">
        <v>24</v>
      </c>
      <c r="E27" s="63"/>
      <c r="F27" s="64"/>
    </row>
    <row r="28" spans="1:6" ht="14.5" customHeight="1" x14ac:dyDescent="0.4">
      <c r="A28" s="56" t="s">
        <v>25</v>
      </c>
      <c r="B28" s="57"/>
      <c r="C28" s="57"/>
      <c r="D28" s="65" t="str">
        <f>IF(AND($C$14="Yes",$C$13&lt;720),"Self-Employed: Min FICO 720","Pass")</f>
        <v>Pass</v>
      </c>
      <c r="E28" s="65"/>
      <c r="F28" s="66"/>
    </row>
    <row r="29" spans="1:6" ht="14.5" customHeight="1" x14ac:dyDescent="0.4">
      <c r="A29" s="58" t="s">
        <v>73</v>
      </c>
      <c r="B29" s="59"/>
      <c r="C29" s="59"/>
      <c r="D29" s="67" t="str">
        <f>IF($C$10&lt;100000,"Min Loan Amt $100K",IF($C$10&gt;250000,"Max Loan Amt $250K","Pass"))</f>
        <v>Pass</v>
      </c>
      <c r="E29" s="67"/>
      <c r="F29" s="68"/>
    </row>
    <row r="30" spans="1:6" ht="15" customHeight="1" thickBot="1" x14ac:dyDescent="0.45">
      <c r="A30" s="60" t="s">
        <v>57</v>
      </c>
      <c r="B30" s="61"/>
      <c r="C30" s="61"/>
      <c r="D30" s="69" t="str">
        <f>IF(AND($C$12="2nd",$C$14="Yes",$C$15&gt;0.7),"2nd Home, Self-Employed: Max CLTV 70%",IF(AND($C$12="2nd",$C$15&gt;0.8),"2nd Home: Max CLTV 80%",IF($C$15&gt;0.85,"Max CLTV 85%","Pass")))</f>
        <v>Pass</v>
      </c>
      <c r="E30" s="69"/>
      <c r="F30" s="70"/>
    </row>
    <row r="31" spans="1:6" ht="14.6" thickBot="1" x14ac:dyDescent="0.45">
      <c r="A31" s="2"/>
      <c r="B31" s="2"/>
      <c r="C31" s="2"/>
      <c r="D31" s="3"/>
      <c r="E31" s="3"/>
      <c r="F31" s="2"/>
    </row>
    <row r="32" spans="1:6" ht="14.6" thickTop="1" x14ac:dyDescent="0.4">
      <c r="E32" s="7"/>
      <c r="F32" s="7"/>
    </row>
    <row r="33" spans="1:6" ht="18" thickBot="1" x14ac:dyDescent="0.45">
      <c r="A33" s="13" t="s">
        <v>26</v>
      </c>
      <c r="E33" s="7"/>
    </row>
    <row r="34" spans="1:6" s="52" customFormat="1" ht="15.9" thickBot="1" x14ac:dyDescent="0.45">
      <c r="D34" s="71" t="s">
        <v>24</v>
      </c>
      <c r="E34" s="72"/>
      <c r="F34" s="73"/>
    </row>
    <row r="35" spans="1:6" ht="15" customHeight="1" thickBot="1" x14ac:dyDescent="0.45">
      <c r="A35" s="74" t="s">
        <v>76</v>
      </c>
      <c r="B35" s="74"/>
      <c r="C35" s="74"/>
      <c r="D35" s="76" t="s">
        <v>27</v>
      </c>
      <c r="E35" s="76"/>
      <c r="F35" s="76"/>
    </row>
    <row r="36" spans="1:6" ht="15" customHeight="1" thickBot="1" x14ac:dyDescent="0.45">
      <c r="A36" s="74"/>
      <c r="B36" s="74"/>
      <c r="C36" s="74"/>
      <c r="D36" s="76"/>
      <c r="E36" s="76"/>
      <c r="F36" s="76"/>
    </row>
    <row r="37" spans="1:6" ht="15" customHeight="1" thickBot="1" x14ac:dyDescent="0.45">
      <c r="A37" s="75" t="s">
        <v>75</v>
      </c>
      <c r="B37" s="75"/>
      <c r="C37" s="75"/>
      <c r="D37" s="77" t="s">
        <v>28</v>
      </c>
      <c r="E37" s="77"/>
      <c r="F37" s="77"/>
    </row>
    <row r="38" spans="1:6" ht="15" customHeight="1" thickBot="1" x14ac:dyDescent="0.45">
      <c r="A38" s="75"/>
      <c r="B38" s="75"/>
      <c r="C38" s="75"/>
      <c r="D38" s="77"/>
      <c r="E38" s="77"/>
      <c r="F38" s="77"/>
    </row>
    <row r="39" spans="1:6" ht="14.5" customHeight="1" thickBot="1" x14ac:dyDescent="0.45">
      <c r="A39" s="74" t="s">
        <v>77</v>
      </c>
      <c r="B39" s="74"/>
      <c r="C39" s="74"/>
      <c r="D39" s="78" t="s">
        <v>29</v>
      </c>
      <c r="E39" s="78"/>
      <c r="F39" s="78"/>
    </row>
    <row r="40" spans="1:6" ht="15" customHeight="1" thickBot="1" x14ac:dyDescent="0.45">
      <c r="A40" s="74"/>
      <c r="B40" s="74"/>
      <c r="C40" s="74"/>
      <c r="D40" s="78"/>
      <c r="E40" s="78"/>
      <c r="F40" s="78"/>
    </row>
    <row r="41" spans="1:6" ht="15" customHeight="1" thickBot="1" x14ac:dyDescent="0.45">
      <c r="A41" s="74"/>
      <c r="B41" s="74"/>
      <c r="C41" s="74"/>
      <c r="D41" s="78"/>
      <c r="E41" s="78"/>
      <c r="F41" s="78"/>
    </row>
    <row r="42" spans="1:6" ht="15" customHeight="1" thickBot="1" x14ac:dyDescent="0.45">
      <c r="A42" s="75" t="s">
        <v>30</v>
      </c>
      <c r="B42" s="75"/>
      <c r="C42" s="75"/>
      <c r="D42" s="77" t="s">
        <v>31</v>
      </c>
      <c r="E42" s="77"/>
      <c r="F42" s="77"/>
    </row>
    <row r="43" spans="1:6" ht="15" customHeight="1" thickBot="1" x14ac:dyDescent="0.45">
      <c r="A43" s="75"/>
      <c r="B43" s="75"/>
      <c r="C43" s="75"/>
      <c r="D43" s="77"/>
      <c r="E43" s="77"/>
      <c r="F43" s="77"/>
    </row>
    <row r="44" spans="1:6" ht="15" customHeight="1" thickBot="1" x14ac:dyDescent="0.45">
      <c r="A44" s="74" t="s">
        <v>32</v>
      </c>
      <c r="B44" s="74"/>
      <c r="C44" s="74"/>
      <c r="D44" s="76" t="s">
        <v>33</v>
      </c>
      <c r="E44" s="76"/>
      <c r="F44" s="76"/>
    </row>
    <row r="45" spans="1:6" ht="15" customHeight="1" thickBot="1" x14ac:dyDescent="0.45">
      <c r="A45" s="74"/>
      <c r="B45" s="74"/>
      <c r="C45" s="74"/>
      <c r="D45" s="76"/>
      <c r="E45" s="76"/>
      <c r="F45" s="76"/>
    </row>
    <row r="46" spans="1:6" ht="14.5" customHeight="1" thickBot="1" x14ac:dyDescent="0.45">
      <c r="A46" s="96" t="s">
        <v>34</v>
      </c>
      <c r="B46" s="96"/>
      <c r="C46" s="96"/>
      <c r="D46" s="95" t="s">
        <v>35</v>
      </c>
      <c r="E46" s="95"/>
      <c r="F46" s="95"/>
    </row>
    <row r="47" spans="1:6" ht="15" customHeight="1" thickBot="1" x14ac:dyDescent="0.45">
      <c r="A47" s="96"/>
      <c r="B47" s="96"/>
      <c r="C47" s="96"/>
      <c r="D47" s="95"/>
      <c r="E47" s="95"/>
      <c r="F47" s="95"/>
    </row>
    <row r="48" spans="1:6" ht="14.15" customHeight="1" thickBot="1" x14ac:dyDescent="0.45">
      <c r="A48" s="96"/>
      <c r="B48" s="96"/>
      <c r="C48" s="96"/>
      <c r="D48" s="95"/>
      <c r="E48" s="95"/>
      <c r="F48" s="95"/>
    </row>
    <row r="50" spans="1:9" ht="14.15" customHeight="1" x14ac:dyDescent="0.4">
      <c r="A50" s="97" t="s">
        <v>74</v>
      </c>
      <c r="B50" s="97"/>
      <c r="C50" s="97"/>
      <c r="D50" s="97"/>
      <c r="E50" s="97"/>
      <c r="F50" s="97"/>
      <c r="G50" s="97"/>
      <c r="H50" s="97"/>
      <c r="I50" s="51"/>
    </row>
    <row r="51" spans="1:9" x14ac:dyDescent="0.4">
      <c r="A51" s="97"/>
      <c r="B51" s="97"/>
      <c r="C51" s="97"/>
      <c r="D51" s="97"/>
      <c r="E51" s="97"/>
      <c r="F51" s="97"/>
      <c r="G51" s="97"/>
      <c r="H51" s="97"/>
      <c r="I51" s="51"/>
    </row>
    <row r="52" spans="1:9" x14ac:dyDescent="0.4">
      <c r="A52" s="97"/>
      <c r="B52" s="97"/>
      <c r="C52" s="97"/>
      <c r="D52" s="97"/>
      <c r="E52" s="97"/>
      <c r="F52" s="97"/>
      <c r="G52" s="97"/>
      <c r="H52" s="97"/>
      <c r="I52" s="51"/>
    </row>
  </sheetData>
  <sheetProtection algorithmName="SHA-512" hashValue="HHuzQAKjw8MmSmD0zyI/mnoYW0y/NxFUnGsxSp8v5uViNr25Bz6svzASLhR4Hlh3ws2XM2Zmv+4tqTli5aaXAg==" saltValue="DnKb7ZeCqeS/D93zNZv8uQ==" spinCount="100000" sheet="1" objects="1" scenarios="1"/>
  <mergeCells count="27">
    <mergeCell ref="A50:H52"/>
    <mergeCell ref="F14:H15"/>
    <mergeCell ref="D46:F48"/>
    <mergeCell ref="A42:C43"/>
    <mergeCell ref="A44:C45"/>
    <mergeCell ref="A46:C48"/>
    <mergeCell ref="D42:F43"/>
    <mergeCell ref="D44:F45"/>
    <mergeCell ref="A1:I4"/>
    <mergeCell ref="C6:F6"/>
    <mergeCell ref="G9:H9"/>
    <mergeCell ref="G11:H11"/>
    <mergeCell ref="G10:H10"/>
    <mergeCell ref="D34:F34"/>
    <mergeCell ref="A35:C36"/>
    <mergeCell ref="A37:C38"/>
    <mergeCell ref="A39:C41"/>
    <mergeCell ref="D35:F36"/>
    <mergeCell ref="D37:F38"/>
    <mergeCell ref="D39:F41"/>
    <mergeCell ref="A28:C28"/>
    <mergeCell ref="A29:C29"/>
    <mergeCell ref="A30:C30"/>
    <mergeCell ref="D27:F27"/>
    <mergeCell ref="D28:F28"/>
    <mergeCell ref="D29:F29"/>
    <mergeCell ref="D30:F30"/>
  </mergeCells>
  <conditionalFormatting sqref="D28:D30">
    <cfRule type="containsText" dxfId="1" priority="7" operator="containsText" text="Pass">
      <formula>NOT(ISERROR(SEARCH("Pass",D28)))</formula>
    </cfRule>
  </conditionalFormatting>
  <conditionalFormatting sqref="B24:D24 D20:F23">
    <cfRule type="expression" dxfId="0" priority="9">
      <formula>COUNTIF($D$28:$F$30,"Pass")&lt;3</formula>
    </cfRule>
  </conditionalFormatting>
  <dataValidations count="1">
    <dataValidation type="whole" allowBlank="1" showInputMessage="1" showErrorMessage="1" sqref="C13" xr:uid="{3DF8AD1B-9F06-4083-95D4-D27D9F285E79}">
      <formula1>680</formula1>
      <formula2>850</formula2>
    </dataValidation>
  </dataValidations>
  <pageMargins left="0.25" right="0.25" top="0.25" bottom="0.2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F3EE314-96DF-4215-B564-AA5470EC0DE7}">
          <x14:formula1>
            <xm:f>Dropdowns!$A$2:$A$3</xm:f>
          </x14:formula1>
          <xm:sqref>C12</xm:sqref>
        </x14:dataValidation>
        <x14:dataValidation type="list" allowBlank="1" showInputMessage="1" showErrorMessage="1" xr:uid="{19320E60-A2CD-4514-87EC-DAA650542771}">
          <x14:formula1>
            <xm:f>Dropdowns!$B$2:$B$3</xm:f>
          </x14:formula1>
          <xm:sqref>C14:C15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4D258-709C-4AA2-95E4-3BAE84C41912}">
  <dimension ref="A1:W78"/>
  <sheetViews>
    <sheetView topLeftCell="A49" workbookViewId="0">
      <selection sqref="A1:I4"/>
    </sheetView>
  </sheetViews>
  <sheetFormatPr defaultRowHeight="14.6" x14ac:dyDescent="0.4"/>
  <cols>
    <col min="1" max="1" width="11.69140625" bestFit="1" customWidth="1"/>
    <col min="2" max="2" width="13" bestFit="1" customWidth="1"/>
    <col min="3" max="3" width="7.69140625" bestFit="1" customWidth="1"/>
    <col min="4" max="4" width="9.84375" customWidth="1"/>
    <col min="5" max="5" width="9.84375" bestFit="1" customWidth="1"/>
  </cols>
  <sheetData>
    <row r="1" spans="1:20" s="14" customFormat="1" ht="20.6" x14ac:dyDescent="0.4">
      <c r="A1" s="14" t="s">
        <v>36</v>
      </c>
      <c r="E1" s="15"/>
      <c r="F1" s="15"/>
    </row>
    <row r="2" spans="1:20" s="19" customFormat="1" ht="15.9" x14ac:dyDescent="0.4">
      <c r="A2" s="19" t="s">
        <v>37</v>
      </c>
      <c r="E2" s="20"/>
      <c r="F2" s="20"/>
    </row>
    <row r="3" spans="1:20" s="21" customFormat="1" x14ac:dyDescent="0.4">
      <c r="E3" s="22"/>
      <c r="F3" s="22"/>
      <c r="M3" s="22"/>
      <c r="N3" s="22"/>
      <c r="O3" s="22"/>
      <c r="P3" s="22"/>
      <c r="Q3" s="22"/>
      <c r="R3" s="22"/>
      <c r="S3" s="22"/>
      <c r="T3" s="22"/>
    </row>
    <row r="4" spans="1:20" s="21" customFormat="1" ht="15.9" x14ac:dyDescent="0.4">
      <c r="A4" s="21" t="s">
        <v>38</v>
      </c>
      <c r="C4" s="17">
        <f>VLOOKUP('Rate Calculator'!C$12,D21:E22,2,FALSE)</f>
        <v>0</v>
      </c>
      <c r="E4" s="22"/>
      <c r="F4" s="22"/>
      <c r="M4" s="22"/>
      <c r="N4" s="22"/>
      <c r="O4" s="22"/>
      <c r="P4" s="22"/>
      <c r="Q4" s="22"/>
      <c r="R4" s="22"/>
      <c r="S4" s="22"/>
      <c r="T4" s="22"/>
    </row>
    <row r="5" spans="1:20" s="21" customFormat="1" ht="15.9" x14ac:dyDescent="0.4">
      <c r="A5" s="21" t="s">
        <v>39</v>
      </c>
      <c r="C5" s="17">
        <f>VLOOKUP("MATCH",C28:H33,MATCH("MATCH",C27:H27,0),FALSE)</f>
        <v>0</v>
      </c>
      <c r="E5" s="22"/>
      <c r="F5" s="22"/>
      <c r="M5" s="22"/>
      <c r="N5" s="22"/>
      <c r="O5" s="22"/>
      <c r="P5" s="22"/>
      <c r="Q5" s="22"/>
      <c r="R5" s="22"/>
      <c r="S5" s="22"/>
      <c r="T5" s="22"/>
    </row>
    <row r="6" spans="1:20" s="21" customFormat="1" ht="15.9" x14ac:dyDescent="0.4">
      <c r="A6" s="21" t="s">
        <v>40</v>
      </c>
      <c r="C6" s="17">
        <f>VLOOKUP("MATCH",C42:G47,MATCH("MATCH",C41:G41,0),FALSE)</f>
        <v>0</v>
      </c>
      <c r="E6" s="22"/>
      <c r="F6" s="22"/>
      <c r="M6" s="22"/>
      <c r="N6" s="22"/>
      <c r="O6" s="22"/>
      <c r="P6" s="22"/>
      <c r="Q6" s="22"/>
      <c r="R6" s="22"/>
      <c r="S6" s="22"/>
      <c r="T6" s="22"/>
    </row>
    <row r="7" spans="1:20" s="21" customFormat="1" x14ac:dyDescent="0.4">
      <c r="E7" s="22"/>
      <c r="F7" s="22"/>
      <c r="M7" s="22"/>
      <c r="N7" s="22"/>
      <c r="O7" s="22"/>
      <c r="P7" s="22"/>
      <c r="Q7" s="22"/>
      <c r="R7" s="22"/>
      <c r="S7" s="22"/>
      <c r="T7" s="22"/>
    </row>
    <row r="8" spans="1:20" s="21" customFormat="1" ht="15.9" x14ac:dyDescent="0.4">
      <c r="A8" s="21" t="s">
        <v>41</v>
      </c>
      <c r="C8" s="17">
        <f>SUM(C4:C6)</f>
        <v>0</v>
      </c>
      <c r="E8" s="22"/>
      <c r="F8" s="22"/>
      <c r="M8" s="22"/>
      <c r="N8" s="22"/>
      <c r="O8" s="22"/>
      <c r="P8" s="22"/>
      <c r="Q8" s="22"/>
      <c r="R8" s="22"/>
      <c r="S8" s="22"/>
      <c r="T8" s="22"/>
    </row>
    <row r="9" spans="1:20" s="21" customFormat="1" x14ac:dyDescent="0.4">
      <c r="E9" s="22"/>
      <c r="F9" s="22"/>
      <c r="M9" s="22"/>
      <c r="N9" s="22"/>
      <c r="O9" s="22"/>
      <c r="P9" s="22"/>
      <c r="Q9" s="22"/>
      <c r="R9" s="22"/>
      <c r="S9" s="22"/>
      <c r="T9" s="22"/>
    </row>
    <row r="10" spans="1:20" s="19" customFormat="1" ht="15.9" x14ac:dyDescent="0.4">
      <c r="A10" s="19" t="s">
        <v>42</v>
      </c>
      <c r="E10" s="20"/>
      <c r="F10" s="20"/>
    </row>
    <row r="11" spans="1:20" s="21" customFormat="1" x14ac:dyDescent="0.4">
      <c r="E11" s="22"/>
      <c r="F11" s="22"/>
      <c r="M11" s="22"/>
      <c r="N11" s="22"/>
      <c r="O11" s="22"/>
      <c r="P11" s="22"/>
      <c r="Q11" s="22"/>
      <c r="R11" s="22"/>
      <c r="S11" s="22"/>
      <c r="T11" s="22"/>
    </row>
    <row r="12" spans="1:20" s="21" customFormat="1" ht="15.9" x14ac:dyDescent="0.4">
      <c r="A12" s="21" t="s">
        <v>43</v>
      </c>
      <c r="E12" s="17">
        <v>9</v>
      </c>
      <c r="F12" s="22"/>
      <c r="M12" s="22"/>
      <c r="N12" s="22"/>
      <c r="O12" s="22"/>
      <c r="P12" s="22"/>
      <c r="Q12" s="22"/>
      <c r="R12" s="22"/>
      <c r="S12" s="22"/>
      <c r="T12" s="22"/>
    </row>
    <row r="13" spans="1:20" s="21" customFormat="1" ht="15.9" x14ac:dyDescent="0.4">
      <c r="A13" s="21" t="s">
        <v>44</v>
      </c>
      <c r="E13" s="17">
        <v>-1</v>
      </c>
      <c r="F13" s="22"/>
    </row>
    <row r="14" spans="1:20" s="21" customFormat="1" ht="15.9" x14ac:dyDescent="0.4">
      <c r="A14" s="21" t="s">
        <v>45</v>
      </c>
      <c r="E14" s="17">
        <v>-0.5</v>
      </c>
      <c r="F14" s="22"/>
    </row>
    <row r="15" spans="1:20" s="21" customFormat="1" ht="15.9" x14ac:dyDescent="0.4">
      <c r="A15" s="21" t="s">
        <v>46</v>
      </c>
      <c r="E15" s="17">
        <v>0</v>
      </c>
      <c r="F15" s="22"/>
    </row>
    <row r="16" spans="1:20" s="21" customFormat="1" ht="15.9" x14ac:dyDescent="0.4">
      <c r="A16" s="21" t="s">
        <v>47</v>
      </c>
      <c r="E16" s="17">
        <v>0.75</v>
      </c>
      <c r="F16" s="22"/>
    </row>
    <row r="17" spans="1:20" s="21" customFormat="1" ht="15.9" x14ac:dyDescent="0.4">
      <c r="A17" s="21" t="s">
        <v>48</v>
      </c>
      <c r="E17" s="17">
        <v>1</v>
      </c>
      <c r="F17" s="22"/>
    </row>
    <row r="18" spans="1:20" s="21" customFormat="1" x14ac:dyDescent="0.4">
      <c r="E18" s="22"/>
      <c r="F18" s="22"/>
      <c r="M18" s="22"/>
      <c r="N18" s="22"/>
      <c r="O18" s="22"/>
      <c r="P18" s="22"/>
      <c r="Q18" s="22"/>
      <c r="R18" s="22"/>
      <c r="S18" s="22"/>
      <c r="T18" s="22"/>
    </row>
    <row r="19" spans="1:20" s="19" customFormat="1" ht="15.9" x14ac:dyDescent="0.4">
      <c r="A19" s="19" t="s">
        <v>9</v>
      </c>
      <c r="E19" s="20"/>
      <c r="F19" s="20"/>
    </row>
    <row r="20" spans="1:20" s="21" customFormat="1" x14ac:dyDescent="0.4">
      <c r="E20" s="22"/>
      <c r="F20" s="22"/>
      <c r="M20" s="22"/>
      <c r="N20" s="22"/>
      <c r="O20" s="22"/>
      <c r="P20" s="22"/>
      <c r="Q20" s="22"/>
      <c r="R20" s="22"/>
      <c r="S20" s="22"/>
      <c r="T20" s="22"/>
    </row>
    <row r="21" spans="1:20" s="21" customFormat="1" ht="15.9" x14ac:dyDescent="0.4">
      <c r="A21" s="21" t="s">
        <v>49</v>
      </c>
      <c r="D21" s="21" t="s">
        <v>10</v>
      </c>
      <c r="E21" s="17">
        <v>0</v>
      </c>
      <c r="F21" s="22"/>
    </row>
    <row r="22" spans="1:20" s="21" customFormat="1" ht="15.9" x14ac:dyDescent="0.4">
      <c r="A22" s="21" t="s">
        <v>50</v>
      </c>
      <c r="D22" s="21" t="s">
        <v>51</v>
      </c>
      <c r="E22" s="17">
        <v>1</v>
      </c>
      <c r="F22" s="22"/>
    </row>
    <row r="23" spans="1:20" s="21" customFormat="1" x14ac:dyDescent="0.4">
      <c r="E23" s="22"/>
      <c r="F23" s="22"/>
    </row>
    <row r="24" spans="1:20" s="19" customFormat="1" ht="16.3" thickBot="1" x14ac:dyDescent="0.45">
      <c r="A24" s="19" t="s">
        <v>52</v>
      </c>
      <c r="E24" s="20"/>
      <c r="F24" s="20"/>
    </row>
    <row r="25" spans="1:20" s="21" customFormat="1" ht="15.9" x14ac:dyDescent="0.4">
      <c r="A25" s="23"/>
      <c r="B25" s="24" t="s">
        <v>53</v>
      </c>
      <c r="C25" s="24" t="s">
        <v>54</v>
      </c>
      <c r="D25" s="24">
        <v>0</v>
      </c>
      <c r="E25" s="24">
        <v>25000</v>
      </c>
      <c r="F25" s="24">
        <v>50000</v>
      </c>
      <c r="G25" s="24">
        <v>150000</v>
      </c>
      <c r="H25" s="25">
        <v>200000</v>
      </c>
    </row>
    <row r="26" spans="1:20" s="21" customFormat="1" ht="15.9" x14ac:dyDescent="0.4">
      <c r="A26" s="26"/>
      <c r="B26" s="16"/>
      <c r="C26" s="16" t="s">
        <v>55</v>
      </c>
      <c r="D26" s="16">
        <v>25000</v>
      </c>
      <c r="E26" s="16">
        <v>50000</v>
      </c>
      <c r="F26" s="16">
        <v>150000</v>
      </c>
      <c r="G26" s="16">
        <v>200000</v>
      </c>
      <c r="H26" s="27"/>
    </row>
    <row r="27" spans="1:20" s="31" customFormat="1" ht="15.9" x14ac:dyDescent="0.4">
      <c r="A27" s="28"/>
      <c r="B27" s="18"/>
      <c r="C27" s="18"/>
      <c r="D27" s="18" t="str">
        <f>IF(AND('Rate Calculator'!$C$10&gt;D25,'Rate Calculator'!$C$10&lt;=D26),"MATCH","")</f>
        <v/>
      </c>
      <c r="E27" s="29" t="str">
        <f>IF(AND('Rate Calculator'!$C$10&gt;E25,'Rate Calculator'!$C$10&lt;=E26),"MATCH","")</f>
        <v/>
      </c>
      <c r="F27" s="29" t="str">
        <f>IF(AND('Rate Calculator'!$C$10&gt;F25,'Rate Calculator'!$C$10&lt;=F26),"MATCH","")</f>
        <v>MATCH</v>
      </c>
      <c r="G27" s="29" t="str">
        <f>IF(AND('Rate Calculator'!$C$10&gt;G25,'Rate Calculator'!$C$10&lt;=G26),"MATCH","")</f>
        <v/>
      </c>
      <c r="H27" s="30" t="str">
        <f>IF('Rate Calculator'!$C$10&gt;H25,"MATCH","")</f>
        <v/>
      </c>
    </row>
    <row r="28" spans="1:20" s="21" customFormat="1" ht="15.9" x14ac:dyDescent="0.4">
      <c r="A28" s="26"/>
      <c r="B28" s="16">
        <v>680</v>
      </c>
      <c r="C28" s="18" t="str">
        <f>IF('Rate Calculator'!$C$13&lt;B28,"MATCH","")</f>
        <v/>
      </c>
      <c r="D28" s="17" t="s">
        <v>56</v>
      </c>
      <c r="E28" s="17" t="s">
        <v>56</v>
      </c>
      <c r="F28" s="17" t="s">
        <v>56</v>
      </c>
      <c r="G28" s="17" t="s">
        <v>56</v>
      </c>
      <c r="H28" s="32" t="s">
        <v>56</v>
      </c>
    </row>
    <row r="29" spans="1:20" s="21" customFormat="1" ht="15.9" x14ac:dyDescent="0.4">
      <c r="A29" s="26">
        <v>680</v>
      </c>
      <c r="B29" s="16">
        <v>700</v>
      </c>
      <c r="C29" s="18" t="str">
        <f>IF(AND('Rate Calculator'!$C$13&gt;=A29,'Rate Calculator'!$C$13&lt;B29),"MATCH","")</f>
        <v/>
      </c>
      <c r="D29" s="17">
        <v>0.375</v>
      </c>
      <c r="E29" s="17">
        <v>0.25</v>
      </c>
      <c r="F29" s="17">
        <v>0.125</v>
      </c>
      <c r="G29" s="17">
        <v>0.125</v>
      </c>
      <c r="H29" s="32">
        <v>0.125</v>
      </c>
    </row>
    <row r="30" spans="1:20" s="21" customFormat="1" ht="15.9" x14ac:dyDescent="0.4">
      <c r="A30" s="26">
        <v>700</v>
      </c>
      <c r="B30" s="16">
        <v>720</v>
      </c>
      <c r="C30" s="18" t="str">
        <f>IF(AND('Rate Calculator'!$C$13&gt;=A30,'Rate Calculator'!$C$13&lt;B30),"MATCH","")</f>
        <v/>
      </c>
      <c r="D30" s="17">
        <v>0.25</v>
      </c>
      <c r="E30" s="17">
        <v>0.125</v>
      </c>
      <c r="F30" s="17">
        <v>0</v>
      </c>
      <c r="G30" s="17">
        <v>0</v>
      </c>
      <c r="H30" s="32">
        <v>0</v>
      </c>
    </row>
    <row r="31" spans="1:20" s="21" customFormat="1" ht="15.9" x14ac:dyDescent="0.4">
      <c r="A31" s="26">
        <v>720</v>
      </c>
      <c r="B31" s="16">
        <v>740</v>
      </c>
      <c r="C31" s="18" t="str">
        <f>IF(AND('Rate Calculator'!$C$13&gt;=A31,'Rate Calculator'!$C$13&lt;B31),"MATCH","")</f>
        <v/>
      </c>
      <c r="D31" s="17">
        <v>0.125</v>
      </c>
      <c r="E31" s="17">
        <v>0</v>
      </c>
      <c r="F31" s="17">
        <v>0</v>
      </c>
      <c r="G31" s="17">
        <v>0</v>
      </c>
      <c r="H31" s="32">
        <v>0</v>
      </c>
    </row>
    <row r="32" spans="1:20" s="21" customFormat="1" ht="15.9" x14ac:dyDescent="0.4">
      <c r="A32" s="26">
        <v>740</v>
      </c>
      <c r="B32" s="16">
        <v>760</v>
      </c>
      <c r="C32" s="18" t="str">
        <f>IF(AND('Rate Calculator'!$C$13&gt;=A32,'Rate Calculator'!$C$13&lt;B32),"MATCH","")</f>
        <v>MATCH</v>
      </c>
      <c r="D32" s="17">
        <v>0</v>
      </c>
      <c r="E32" s="17">
        <v>0</v>
      </c>
      <c r="F32" s="17">
        <v>0</v>
      </c>
      <c r="G32" s="17">
        <v>0</v>
      </c>
      <c r="H32" s="32">
        <v>0</v>
      </c>
    </row>
    <row r="33" spans="1:8" s="21" customFormat="1" ht="16.3" thickBot="1" x14ac:dyDescent="0.45">
      <c r="A33" s="33">
        <v>760</v>
      </c>
      <c r="B33" s="34"/>
      <c r="C33" s="43" t="str">
        <f>IF('Rate Calculator'!$C$13&gt;=A33,"MATCH","")</f>
        <v/>
      </c>
      <c r="D33" s="35">
        <v>0</v>
      </c>
      <c r="E33" s="35">
        <v>0</v>
      </c>
      <c r="F33" s="35">
        <v>0</v>
      </c>
      <c r="G33" s="35">
        <v>0</v>
      </c>
      <c r="H33" s="36">
        <v>0</v>
      </c>
    </row>
    <row r="34" spans="1:8" s="21" customFormat="1" x14ac:dyDescent="0.4">
      <c r="E34" s="22"/>
      <c r="F34" s="22"/>
    </row>
    <row r="35" spans="1:8" s="19" customFormat="1" ht="15.9" x14ac:dyDescent="0.4">
      <c r="A35" s="19" t="s">
        <v>40</v>
      </c>
      <c r="E35" s="20"/>
      <c r="F35" s="20"/>
    </row>
    <row r="36" spans="1:8" s="21" customFormat="1" x14ac:dyDescent="0.4">
      <c r="E36" s="22"/>
      <c r="F36" s="22"/>
    </row>
    <row r="37" spans="1:8" s="21" customFormat="1" ht="15.9" x14ac:dyDescent="0.4">
      <c r="A37" s="21" t="s">
        <v>57</v>
      </c>
      <c r="C37" s="17">
        <f>('Rate Calculator'!C9+'Rate Calculator'!C10)/'Rate Calculator'!C11*100</f>
        <v>72</v>
      </c>
      <c r="E37" s="22"/>
      <c r="F37" s="22"/>
    </row>
    <row r="38" spans="1:8" s="21" customFormat="1" ht="15" thickBot="1" x14ac:dyDescent="0.45">
      <c r="E38" s="22"/>
      <c r="F38" s="22"/>
    </row>
    <row r="39" spans="1:8" s="21" customFormat="1" ht="15.9" x14ac:dyDescent="0.4">
      <c r="A39" s="23"/>
      <c r="B39" s="24" t="s">
        <v>57</v>
      </c>
      <c r="C39" s="24" t="s">
        <v>54</v>
      </c>
      <c r="D39" s="24"/>
      <c r="E39" s="24">
        <v>80</v>
      </c>
      <c r="F39" s="24">
        <v>85</v>
      </c>
      <c r="G39" s="25">
        <v>90</v>
      </c>
    </row>
    <row r="40" spans="1:8" s="21" customFormat="1" ht="15.9" x14ac:dyDescent="0.4">
      <c r="A40" s="26"/>
      <c r="B40" s="16"/>
      <c r="C40" s="16" t="s">
        <v>55</v>
      </c>
      <c r="D40" s="16">
        <v>80</v>
      </c>
      <c r="E40" s="16">
        <v>85</v>
      </c>
      <c r="F40" s="16">
        <v>90</v>
      </c>
      <c r="G40" s="27"/>
    </row>
    <row r="41" spans="1:8" s="31" customFormat="1" ht="15.9" x14ac:dyDescent="0.4">
      <c r="A41" s="28"/>
      <c r="B41" s="18"/>
      <c r="C41" s="18"/>
      <c r="D41" s="18" t="str">
        <f>IF($C37&lt;=D40,"MATCH","")</f>
        <v>MATCH</v>
      </c>
      <c r="E41" s="29" t="str">
        <f>IF(AND($C37&gt;E39,$C37&lt;=E40),"MATCH","")</f>
        <v/>
      </c>
      <c r="F41" s="29" t="str">
        <f>IF(AND($C37&gt;F39,$C37&lt;=F40),"MATCH","")</f>
        <v/>
      </c>
      <c r="G41" s="30" t="str">
        <f>IF($C37&gt;G39,"MATCH","")</f>
        <v/>
      </c>
    </row>
    <row r="42" spans="1:8" s="21" customFormat="1" ht="15.9" x14ac:dyDescent="0.4">
      <c r="A42" s="26"/>
      <c r="B42" s="16">
        <v>680</v>
      </c>
      <c r="C42" s="18" t="str">
        <f>IF('Rate Calculator'!$C$13&lt;B42,"MATCH","")</f>
        <v/>
      </c>
      <c r="D42" s="17" t="s">
        <v>56</v>
      </c>
      <c r="E42" s="17" t="s">
        <v>56</v>
      </c>
      <c r="F42" s="17" t="s">
        <v>56</v>
      </c>
      <c r="G42" s="32" t="s">
        <v>56</v>
      </c>
    </row>
    <row r="43" spans="1:8" s="21" customFormat="1" ht="15.9" x14ac:dyDescent="0.4">
      <c r="A43" s="26">
        <v>680</v>
      </c>
      <c r="B43" s="16">
        <v>700</v>
      </c>
      <c r="C43" s="18" t="str">
        <f>IF(AND('Rate Calculator'!$C$13&gt;=A43,'Rate Calculator'!$C$13&lt;B43),"MATCH","")</f>
        <v/>
      </c>
      <c r="D43" s="17">
        <v>0.125</v>
      </c>
      <c r="E43" s="17">
        <v>0.25</v>
      </c>
      <c r="F43" s="17">
        <v>0.5</v>
      </c>
      <c r="G43" s="32">
        <v>0.75</v>
      </c>
    </row>
    <row r="44" spans="1:8" s="21" customFormat="1" ht="15.9" x14ac:dyDescent="0.4">
      <c r="A44" s="26">
        <v>700</v>
      </c>
      <c r="B44" s="16">
        <v>720</v>
      </c>
      <c r="C44" s="18" t="str">
        <f>IF(AND('Rate Calculator'!$C$13&gt;=A44,'Rate Calculator'!$C$13&lt;B44),"MATCH","")</f>
        <v/>
      </c>
      <c r="D44" s="17">
        <v>0</v>
      </c>
      <c r="E44" s="17">
        <v>0.125</v>
      </c>
      <c r="F44" s="17">
        <v>0.375</v>
      </c>
      <c r="G44" s="32">
        <v>0.625</v>
      </c>
    </row>
    <row r="45" spans="1:8" s="21" customFormat="1" ht="15.9" x14ac:dyDescent="0.4">
      <c r="A45" s="26">
        <v>720</v>
      </c>
      <c r="B45" s="16">
        <v>740</v>
      </c>
      <c r="C45" s="18" t="str">
        <f>IF(AND('Rate Calculator'!$C$13&gt;=A45,'Rate Calculator'!$C$13&lt;B45),"MATCH","")</f>
        <v/>
      </c>
      <c r="D45" s="17">
        <v>0</v>
      </c>
      <c r="E45" s="17">
        <v>0</v>
      </c>
      <c r="F45" s="17">
        <v>0.25</v>
      </c>
      <c r="G45" s="32">
        <v>0.5</v>
      </c>
    </row>
    <row r="46" spans="1:8" s="21" customFormat="1" ht="15.9" x14ac:dyDescent="0.4">
      <c r="A46" s="26">
        <v>740</v>
      </c>
      <c r="B46" s="16">
        <v>760</v>
      </c>
      <c r="C46" s="18" t="str">
        <f>IF(AND('Rate Calculator'!$C$13&gt;=A46,'Rate Calculator'!$C$13&lt;B46),"MATCH","")</f>
        <v>MATCH</v>
      </c>
      <c r="D46" s="17">
        <v>0</v>
      </c>
      <c r="E46" s="17">
        <v>0</v>
      </c>
      <c r="F46" s="17">
        <v>0.25</v>
      </c>
      <c r="G46" s="32">
        <v>0.5</v>
      </c>
    </row>
    <row r="47" spans="1:8" s="21" customFormat="1" ht="16.3" thickBot="1" x14ac:dyDescent="0.45">
      <c r="A47" s="33">
        <v>760</v>
      </c>
      <c r="B47" s="34"/>
      <c r="C47" s="43" t="str">
        <f>IF('Rate Calculator'!$C$13&gt;=A47,"MATCH","")</f>
        <v/>
      </c>
      <c r="D47" s="35">
        <v>0</v>
      </c>
      <c r="E47" s="35">
        <v>0</v>
      </c>
      <c r="F47" s="35">
        <v>0.25</v>
      </c>
      <c r="G47" s="36">
        <v>0.5</v>
      </c>
    </row>
    <row r="48" spans="1:8" s="21" customFormat="1" x14ac:dyDescent="0.4">
      <c r="E48" s="22"/>
      <c r="F48" s="22"/>
    </row>
    <row r="49" spans="1:23" s="14" customFormat="1" ht="20.6" x14ac:dyDescent="0.4">
      <c r="A49" s="14" t="s">
        <v>23</v>
      </c>
      <c r="E49" s="15"/>
      <c r="F49" s="15"/>
    </row>
    <row r="50" spans="1:23" s="19" customFormat="1" ht="15.9" x14ac:dyDescent="0.4">
      <c r="A50" s="19" t="s">
        <v>37</v>
      </c>
      <c r="E50" s="20"/>
      <c r="F50" s="20"/>
    </row>
    <row r="51" spans="1:23" s="21" customFormat="1" x14ac:dyDescent="0.4">
      <c r="E51" s="22"/>
      <c r="F51" s="22"/>
      <c r="M51" s="22"/>
      <c r="N51" s="22"/>
      <c r="O51" s="22"/>
      <c r="P51" s="22"/>
      <c r="Q51" s="22"/>
      <c r="R51" s="22"/>
      <c r="S51" s="22"/>
      <c r="T51" s="22"/>
    </row>
    <row r="52" spans="1:23" s="21" customFormat="1" ht="15.9" x14ac:dyDescent="0.4">
      <c r="A52" s="21" t="s">
        <v>58</v>
      </c>
      <c r="C52" s="17">
        <f>VLOOKUP("MATCH",C66:W69,MATCH("MATCH",C65:W65,0),FALSE)</f>
        <v>2</v>
      </c>
      <c r="E52" s="22"/>
      <c r="F52" s="22"/>
      <c r="M52" s="22"/>
      <c r="N52" s="22"/>
      <c r="O52" s="22"/>
      <c r="P52" s="22"/>
      <c r="Q52" s="22"/>
      <c r="R52" s="22"/>
      <c r="S52" s="22"/>
      <c r="T52" s="22"/>
    </row>
    <row r="53" spans="1:23" s="21" customFormat="1" ht="15.9" x14ac:dyDescent="0.4">
      <c r="A53" s="21" t="s">
        <v>38</v>
      </c>
      <c r="C53" s="17">
        <f>VLOOKUP('Rate Calculator'!C$12,D76:E77,2,FALSE)</f>
        <v>0</v>
      </c>
      <c r="E53" s="22"/>
      <c r="F53" s="22"/>
      <c r="M53" s="22"/>
      <c r="N53" s="22"/>
      <c r="O53" s="22"/>
      <c r="P53" s="22"/>
      <c r="Q53" s="22"/>
      <c r="R53" s="22"/>
      <c r="S53" s="22"/>
      <c r="T53" s="22"/>
    </row>
    <row r="54" spans="1:23" s="21" customFormat="1" x14ac:dyDescent="0.4">
      <c r="E54" s="22"/>
      <c r="F54" s="22"/>
      <c r="M54" s="22"/>
      <c r="N54" s="22"/>
      <c r="O54" s="22"/>
      <c r="P54" s="22"/>
      <c r="Q54" s="22"/>
      <c r="R54" s="22"/>
      <c r="S54" s="22"/>
      <c r="T54" s="22"/>
    </row>
    <row r="55" spans="1:23" s="21" customFormat="1" ht="15.9" x14ac:dyDescent="0.4">
      <c r="A55" s="21" t="s">
        <v>41</v>
      </c>
      <c r="C55" s="17">
        <f>SUM(C52:C53)</f>
        <v>2</v>
      </c>
      <c r="E55" s="22"/>
      <c r="F55" s="22"/>
      <c r="M55" s="22"/>
      <c r="N55" s="22"/>
      <c r="O55" s="22"/>
      <c r="P55" s="22"/>
      <c r="Q55" s="22"/>
      <c r="R55" s="22"/>
      <c r="S55" s="22"/>
      <c r="T55" s="22"/>
    </row>
    <row r="56" spans="1:23" s="21" customFormat="1" x14ac:dyDescent="0.4">
      <c r="E56" s="22"/>
      <c r="F56" s="22"/>
      <c r="M56" s="22"/>
      <c r="N56" s="22"/>
      <c r="O56" s="22"/>
      <c r="P56" s="22"/>
      <c r="Q56" s="22"/>
      <c r="R56" s="22"/>
      <c r="S56" s="22"/>
      <c r="T56" s="22"/>
    </row>
    <row r="57" spans="1:23" s="19" customFormat="1" ht="15.9" x14ac:dyDescent="0.4">
      <c r="A57" s="19" t="s">
        <v>59</v>
      </c>
      <c r="E57" s="20"/>
      <c r="F57" s="20"/>
    </row>
    <row r="58" spans="1:23" s="21" customFormat="1" x14ac:dyDescent="0.4">
      <c r="E58" s="22"/>
      <c r="F58" s="22"/>
      <c r="M58" s="22"/>
      <c r="N58" s="22"/>
      <c r="O58" s="22"/>
      <c r="P58" s="22"/>
      <c r="Q58" s="22"/>
      <c r="R58" s="22"/>
      <c r="S58" s="22"/>
      <c r="T58" s="22"/>
    </row>
    <row r="59" spans="1:23" s="21" customFormat="1" ht="15.9" x14ac:dyDescent="0.4">
      <c r="A59" s="21" t="s">
        <v>60</v>
      </c>
      <c r="C59" s="17">
        <f>('Rate Calculator'!C9+'Rate Calculator'!C10)/'Rate Calculator'!C11*100</f>
        <v>72</v>
      </c>
      <c r="E59" s="22"/>
      <c r="F59" s="22"/>
      <c r="M59" s="22"/>
      <c r="N59" s="22"/>
      <c r="O59" s="22"/>
      <c r="P59" s="22"/>
      <c r="Q59" s="22"/>
      <c r="R59" s="22"/>
      <c r="S59" s="22"/>
      <c r="T59" s="22"/>
    </row>
    <row r="60" spans="1:23" s="21" customFormat="1" x14ac:dyDescent="0.4">
      <c r="E60" s="22"/>
      <c r="F60" s="22"/>
      <c r="M60" s="22"/>
      <c r="N60" s="22"/>
      <c r="O60" s="22"/>
      <c r="P60" s="22"/>
      <c r="Q60" s="22"/>
      <c r="R60" s="22"/>
      <c r="S60" s="22"/>
      <c r="T60" s="22"/>
    </row>
    <row r="61" spans="1:23" s="19" customFormat="1" ht="16.3" thickBot="1" x14ac:dyDescent="0.45">
      <c r="A61" s="19" t="s">
        <v>61</v>
      </c>
      <c r="E61" s="20"/>
      <c r="F61" s="20"/>
    </row>
    <row r="62" spans="1:23" s="21" customFormat="1" ht="15" thickBot="1" x14ac:dyDescent="0.45">
      <c r="D62" s="98" t="s">
        <v>62</v>
      </c>
      <c r="E62" s="99"/>
      <c r="F62" s="99"/>
      <c r="G62" s="99"/>
      <c r="H62" s="100"/>
      <c r="I62" s="98" t="s">
        <v>63</v>
      </c>
      <c r="J62" s="99"/>
      <c r="K62" s="99"/>
      <c r="L62" s="99"/>
      <c r="M62" s="100"/>
      <c r="N62" s="98" t="s">
        <v>64</v>
      </c>
      <c r="O62" s="99"/>
      <c r="P62" s="99"/>
      <c r="Q62" s="99"/>
      <c r="R62" s="100"/>
      <c r="S62" s="98" t="s">
        <v>65</v>
      </c>
      <c r="T62" s="99"/>
      <c r="U62" s="99"/>
      <c r="V62" s="99"/>
      <c r="W62" s="100"/>
    </row>
    <row r="63" spans="1:23" s="21" customFormat="1" ht="15.9" x14ac:dyDescent="0.4">
      <c r="A63" s="23"/>
      <c r="B63" s="24" t="s">
        <v>66</v>
      </c>
      <c r="C63" s="24" t="s">
        <v>54</v>
      </c>
      <c r="D63" s="24"/>
      <c r="E63" s="24">
        <v>50000</v>
      </c>
      <c r="F63" s="24">
        <v>150000</v>
      </c>
      <c r="G63" s="24">
        <v>200000</v>
      </c>
      <c r="H63" s="25">
        <v>250000</v>
      </c>
      <c r="I63" s="24"/>
      <c r="J63" s="24">
        <v>50000</v>
      </c>
      <c r="K63" s="24">
        <v>150000</v>
      </c>
      <c r="L63" s="24">
        <v>200000</v>
      </c>
      <c r="M63" s="25">
        <v>250000</v>
      </c>
      <c r="N63" s="24"/>
      <c r="O63" s="24">
        <v>50000</v>
      </c>
      <c r="P63" s="24">
        <v>150000</v>
      </c>
      <c r="Q63" s="24">
        <v>200000</v>
      </c>
      <c r="R63" s="25">
        <v>250000</v>
      </c>
      <c r="S63" s="24"/>
      <c r="T63" s="24">
        <v>50000</v>
      </c>
      <c r="U63" s="24">
        <v>150000</v>
      </c>
      <c r="V63" s="24">
        <v>200000</v>
      </c>
      <c r="W63" s="25">
        <v>250000</v>
      </c>
    </row>
    <row r="64" spans="1:23" s="21" customFormat="1" ht="15.9" x14ac:dyDescent="0.4">
      <c r="A64" s="26"/>
      <c r="B64" s="16"/>
      <c r="C64" s="16" t="s">
        <v>55</v>
      </c>
      <c r="D64" s="16">
        <v>50000</v>
      </c>
      <c r="E64" s="16">
        <v>150000</v>
      </c>
      <c r="F64" s="16">
        <v>200000</v>
      </c>
      <c r="G64" s="16">
        <v>250000</v>
      </c>
      <c r="H64" s="27"/>
      <c r="I64" s="16">
        <v>50000</v>
      </c>
      <c r="J64" s="16">
        <v>150000</v>
      </c>
      <c r="K64" s="16">
        <v>200000</v>
      </c>
      <c r="L64" s="16">
        <v>250000</v>
      </c>
      <c r="M64" s="27"/>
      <c r="N64" s="16">
        <v>50000</v>
      </c>
      <c r="O64" s="16">
        <v>150000</v>
      </c>
      <c r="P64" s="16">
        <v>200000</v>
      </c>
      <c r="Q64" s="16">
        <v>250000</v>
      </c>
      <c r="R64" s="27"/>
      <c r="S64" s="16">
        <v>50000</v>
      </c>
      <c r="T64" s="16">
        <v>150000</v>
      </c>
      <c r="U64" s="16">
        <v>200000</v>
      </c>
      <c r="V64" s="16">
        <v>250000</v>
      </c>
      <c r="W64" s="27"/>
    </row>
    <row r="65" spans="1:23" s="31" customFormat="1" ht="15.9" x14ac:dyDescent="0.4">
      <c r="A65" s="28"/>
      <c r="B65" s="18"/>
      <c r="C65" s="18"/>
      <c r="D65" s="18" t="str">
        <f>IF(AND('Rate Calculator'!$C$10&gt;D63,'Rate Calculator'!$C$10&lt;=D64,$C59&lt;=70),"MATCH","")</f>
        <v/>
      </c>
      <c r="E65" s="29" t="str">
        <f>IF(AND('Rate Calculator'!$C$10&gt;E63,'Rate Calculator'!$C$10&lt;=E64,$C59&lt;=70),"MATCH","")</f>
        <v/>
      </c>
      <c r="F65" s="29" t="str">
        <f>IF(AND('Rate Calculator'!$C$10&gt;F63,'Rate Calculator'!$C$10&lt;=F64,$C59&lt;=70),"MATCH","")</f>
        <v/>
      </c>
      <c r="G65" s="29" t="str">
        <f>IF(AND('Rate Calculator'!$C$10&gt;G63,'Rate Calculator'!$C$10&lt;=G64,$C59&lt;=70),"MATCH","")</f>
        <v/>
      </c>
      <c r="H65" s="30" t="str">
        <f>IF(AND('Rate Calculator'!$C$10&gt;H63,$C59&lt;=70),"MATCH","")</f>
        <v/>
      </c>
      <c r="I65" s="18" t="str">
        <f>IF(AND('Rate Calculator'!$C$10&gt;I63,'Rate Calculator'!$C$10&lt;=I64,$C59&gt;70,$C59&lt;=80),"MATCH","")</f>
        <v/>
      </c>
      <c r="J65" s="29" t="str">
        <f>IF(AND('Rate Calculator'!$C$10&gt;J63,'Rate Calculator'!$C$10&lt;=J64,$C59&gt;70,$C59&lt;=80),"MATCH","")</f>
        <v>MATCH</v>
      </c>
      <c r="K65" s="29" t="str">
        <f>IF(AND('Rate Calculator'!$C$10&gt;K63,'Rate Calculator'!$C$10&lt;=K64,$C59&gt;70,$C59&lt;=80),"MATCH","")</f>
        <v/>
      </c>
      <c r="L65" s="29" t="str">
        <f>IF(AND('Rate Calculator'!$C$10&gt;L63,'Rate Calculator'!$C$10&lt;=L64,$C59&gt;70,$C59&lt;=80),"MATCH","")</f>
        <v/>
      </c>
      <c r="M65" s="30" t="str">
        <f>IF(AND('Rate Calculator'!$C$10&gt;M63,$C59&gt;70,$C59&lt;=80),"MATCH","")</f>
        <v/>
      </c>
      <c r="N65" s="18" t="str">
        <f>IF(AND('Rate Calculator'!$C$10&gt;N63,'Rate Calculator'!$C$10&lt;=N64,$C59&gt;80,$C59&lt;=89.99),"MATCH","")</f>
        <v/>
      </c>
      <c r="O65" s="29" t="str">
        <f>IF(AND('Rate Calculator'!$C$10&gt;O63,'Rate Calculator'!$C$10&lt;=O64,$C59&gt;80,$C59&lt;=89.99),"MATCH","")</f>
        <v/>
      </c>
      <c r="P65" s="29" t="str">
        <f>IF(AND('Rate Calculator'!$C$10&gt;P63,'Rate Calculator'!$C$10&lt;=P64,$C59&gt;80,$C59&lt;=89.99),"MATCH","")</f>
        <v/>
      </c>
      <c r="Q65" s="29" t="str">
        <f>IF(AND('Rate Calculator'!$C$10&gt;Q63,'Rate Calculator'!$C$10&lt;=Q64,$C59&gt;80,$C59&lt;=89.99),"MATCH","")</f>
        <v/>
      </c>
      <c r="R65" s="30" t="str">
        <f>IF(AND('Rate Calculator'!$C$10&gt;R63,$C59&gt;80,$C59&lt;=89.99),"MATCH","")</f>
        <v/>
      </c>
      <c r="S65" s="18" t="str">
        <f>IF(AND('Rate Calculator'!$C$10&gt;S63,'Rate Calculator'!$C$10&lt;=S64,$C59&gt;89.99),"MATCH","")</f>
        <v/>
      </c>
      <c r="T65" s="29" t="str">
        <f>IF(AND('Rate Calculator'!$C$10&gt;T63,'Rate Calculator'!$C$10&lt;=T64,$C59&gt;89.99),"MATCH","")</f>
        <v/>
      </c>
      <c r="U65" s="29" t="str">
        <f>IF(AND('Rate Calculator'!$C$10&gt;U63,'Rate Calculator'!$C$10&lt;=U64,$C59&gt;89.99),"MATCH","")</f>
        <v/>
      </c>
      <c r="V65" s="29" t="str">
        <f>IF(AND('Rate Calculator'!$C$10&gt;V63,'Rate Calculator'!$C$10&lt;=V64,$C59&gt;89.99),"MATCH","")</f>
        <v/>
      </c>
      <c r="W65" s="30" t="str">
        <f>IF(AND('Rate Calculator'!$C$10&gt;W63,$C59&gt;89.99),"MATCH","")</f>
        <v/>
      </c>
    </row>
    <row r="66" spans="1:23" s="21" customFormat="1" ht="15.9" x14ac:dyDescent="0.4">
      <c r="A66" s="26"/>
      <c r="B66" s="16">
        <v>680</v>
      </c>
      <c r="C66" s="18" t="str">
        <f>IF('Rate Calculator'!$C$13&lt;B66,"MATCH","")</f>
        <v/>
      </c>
      <c r="D66" s="17" t="s">
        <v>56</v>
      </c>
      <c r="E66" s="17" t="s">
        <v>56</v>
      </c>
      <c r="F66" s="17" t="s">
        <v>56</v>
      </c>
      <c r="G66" s="17" t="s">
        <v>56</v>
      </c>
      <c r="H66" s="32" t="s">
        <v>56</v>
      </c>
      <c r="I66" s="17" t="s">
        <v>56</v>
      </c>
      <c r="J66" s="17" t="s">
        <v>56</v>
      </c>
      <c r="K66" s="17" t="s">
        <v>56</v>
      </c>
      <c r="L66" s="17" t="s">
        <v>56</v>
      </c>
      <c r="M66" s="32" t="s">
        <v>56</v>
      </c>
      <c r="N66" s="17" t="s">
        <v>56</v>
      </c>
      <c r="O66" s="17" t="s">
        <v>56</v>
      </c>
      <c r="P66" s="17" t="s">
        <v>56</v>
      </c>
      <c r="Q66" s="17" t="s">
        <v>56</v>
      </c>
      <c r="R66" s="32" t="s">
        <v>56</v>
      </c>
      <c r="S66" s="17" t="s">
        <v>56</v>
      </c>
      <c r="T66" s="17" t="s">
        <v>56</v>
      </c>
      <c r="U66" s="17" t="s">
        <v>56</v>
      </c>
      <c r="V66" s="17" t="s">
        <v>56</v>
      </c>
      <c r="W66" s="32" t="s">
        <v>56</v>
      </c>
    </row>
    <row r="67" spans="1:23" s="21" customFormat="1" ht="15.9" x14ac:dyDescent="0.4">
      <c r="A67" s="26">
        <v>680</v>
      </c>
      <c r="B67" s="16">
        <v>700</v>
      </c>
      <c r="C67" s="18" t="str">
        <f>IF(AND('Rate Calculator'!$C$13&gt;=A67,'Rate Calculator'!$C$13&lt;B67),"MATCH","")</f>
        <v/>
      </c>
      <c r="D67" s="17">
        <v>4</v>
      </c>
      <c r="E67" s="17">
        <v>4</v>
      </c>
      <c r="F67" s="17">
        <v>3.75</v>
      </c>
      <c r="G67" s="17">
        <v>3.75</v>
      </c>
      <c r="H67" s="32" t="s">
        <v>56</v>
      </c>
      <c r="I67" s="17">
        <v>4</v>
      </c>
      <c r="J67" s="17">
        <v>4</v>
      </c>
      <c r="K67" s="17">
        <v>3.75</v>
      </c>
      <c r="L67" s="17">
        <v>3.75</v>
      </c>
      <c r="M67" s="32" t="s">
        <v>56</v>
      </c>
      <c r="N67" s="17">
        <v>4</v>
      </c>
      <c r="O67" s="17">
        <v>4</v>
      </c>
      <c r="P67" s="17">
        <v>3.75</v>
      </c>
      <c r="Q67" s="17">
        <v>3.75</v>
      </c>
      <c r="R67" s="32" t="s">
        <v>56</v>
      </c>
      <c r="S67" s="17" t="s">
        <v>56</v>
      </c>
      <c r="T67" s="17" t="s">
        <v>56</v>
      </c>
      <c r="U67" s="17" t="s">
        <v>56</v>
      </c>
      <c r="V67" s="17" t="s">
        <v>56</v>
      </c>
      <c r="W67" s="32" t="s">
        <v>56</v>
      </c>
    </row>
    <row r="68" spans="1:23" s="21" customFormat="1" ht="15.9" x14ac:dyDescent="0.4">
      <c r="A68" s="26">
        <v>700</v>
      </c>
      <c r="B68" s="16">
        <v>740</v>
      </c>
      <c r="C68" s="18" t="str">
        <f>IF(AND('Rate Calculator'!$C$13&gt;=A68,'Rate Calculator'!$C$13&lt;B68),"MATCH","")</f>
        <v/>
      </c>
      <c r="D68" s="17">
        <v>2.5</v>
      </c>
      <c r="E68" s="17">
        <v>2.5</v>
      </c>
      <c r="F68" s="17">
        <v>2.25</v>
      </c>
      <c r="G68" s="17">
        <v>2.25</v>
      </c>
      <c r="H68" s="32">
        <v>2.25</v>
      </c>
      <c r="I68" s="17">
        <v>2.75</v>
      </c>
      <c r="J68" s="17">
        <v>2.75</v>
      </c>
      <c r="K68" s="17">
        <v>2.5</v>
      </c>
      <c r="L68" s="17">
        <v>2.5</v>
      </c>
      <c r="M68" s="32">
        <v>2.5</v>
      </c>
      <c r="N68" s="17">
        <v>2.75</v>
      </c>
      <c r="O68" s="17">
        <v>2.75</v>
      </c>
      <c r="P68" s="17">
        <v>2.5</v>
      </c>
      <c r="Q68" s="17">
        <v>2.5</v>
      </c>
      <c r="R68" s="32" t="s">
        <v>56</v>
      </c>
      <c r="S68" s="17" t="s">
        <v>56</v>
      </c>
      <c r="T68" s="17" t="s">
        <v>56</v>
      </c>
      <c r="U68" s="17" t="s">
        <v>56</v>
      </c>
      <c r="V68" s="17" t="s">
        <v>56</v>
      </c>
      <c r="W68" s="32" t="s">
        <v>56</v>
      </c>
    </row>
    <row r="69" spans="1:23" s="21" customFormat="1" ht="16.3" thickBot="1" x14ac:dyDescent="0.45">
      <c r="A69" s="33">
        <v>740</v>
      </c>
      <c r="B69" s="34"/>
      <c r="C69" s="34" t="str">
        <f>IF('Rate Calculator'!$C$13&gt;=A69,"MATCH","")</f>
        <v>MATCH</v>
      </c>
      <c r="D69" s="35">
        <v>2</v>
      </c>
      <c r="E69" s="35">
        <v>2</v>
      </c>
      <c r="F69" s="35">
        <v>2</v>
      </c>
      <c r="G69" s="35">
        <v>2</v>
      </c>
      <c r="H69" s="36">
        <v>2</v>
      </c>
      <c r="I69" s="35">
        <v>2</v>
      </c>
      <c r="J69" s="35">
        <v>2</v>
      </c>
      <c r="K69" s="35">
        <v>2</v>
      </c>
      <c r="L69" s="35">
        <v>2</v>
      </c>
      <c r="M69" s="36">
        <v>2</v>
      </c>
      <c r="N69" s="35">
        <v>2</v>
      </c>
      <c r="O69" s="35">
        <v>2</v>
      </c>
      <c r="P69" s="35">
        <v>2</v>
      </c>
      <c r="Q69" s="35">
        <v>2</v>
      </c>
      <c r="R69" s="36" t="s">
        <v>56</v>
      </c>
      <c r="S69" s="35" t="s">
        <v>56</v>
      </c>
      <c r="T69" s="35" t="s">
        <v>56</v>
      </c>
      <c r="U69" s="35" t="s">
        <v>56</v>
      </c>
      <c r="V69" s="35" t="s">
        <v>56</v>
      </c>
      <c r="W69" s="36" t="s">
        <v>56</v>
      </c>
    </row>
    <row r="70" spans="1:23" s="21" customFormat="1" x14ac:dyDescent="0.4">
      <c r="E70" s="22"/>
      <c r="F70" s="22"/>
      <c r="G70" s="22"/>
    </row>
    <row r="71" spans="1:23" s="19" customFormat="1" ht="15.9" x14ac:dyDescent="0.4">
      <c r="A71" s="19" t="s">
        <v>67</v>
      </c>
      <c r="E71" s="20"/>
      <c r="F71" s="20"/>
    </row>
    <row r="72" spans="1:23" s="21" customFormat="1" x14ac:dyDescent="0.4">
      <c r="E72" s="22"/>
      <c r="F72" s="22"/>
      <c r="M72" s="22"/>
      <c r="N72" s="22"/>
      <c r="O72" s="22"/>
      <c r="P72" s="22"/>
      <c r="Q72" s="22"/>
      <c r="R72" s="22"/>
      <c r="S72" s="22"/>
      <c r="T72" s="22"/>
    </row>
    <row r="73" spans="1:23" s="21" customFormat="1" ht="15.9" x14ac:dyDescent="0.4">
      <c r="A73" s="21" t="s">
        <v>68</v>
      </c>
      <c r="E73" s="17">
        <v>0</v>
      </c>
      <c r="F73" s="22"/>
    </row>
    <row r="74" spans="1:23" s="21" customFormat="1" ht="15.9" x14ac:dyDescent="0.4">
      <c r="A74" s="21" t="s">
        <v>69</v>
      </c>
      <c r="E74" s="17">
        <v>0</v>
      </c>
      <c r="F74" s="22"/>
    </row>
    <row r="75" spans="1:23" s="21" customFormat="1" ht="15.9" x14ac:dyDescent="0.4">
      <c r="A75" s="21" t="s">
        <v>70</v>
      </c>
      <c r="E75" s="17">
        <v>0</v>
      </c>
      <c r="F75" s="22"/>
    </row>
    <row r="76" spans="1:23" s="21" customFormat="1" ht="15.9" x14ac:dyDescent="0.4">
      <c r="A76" s="21" t="s">
        <v>49</v>
      </c>
      <c r="D76" s="21" t="s">
        <v>10</v>
      </c>
      <c r="E76" s="17">
        <v>0</v>
      </c>
      <c r="F76" s="22"/>
    </row>
    <row r="77" spans="1:23" s="21" customFormat="1" ht="15.9" x14ac:dyDescent="0.4">
      <c r="A77" s="21" t="s">
        <v>50</v>
      </c>
      <c r="D77" s="21" t="s">
        <v>51</v>
      </c>
      <c r="E77" s="17">
        <v>1</v>
      </c>
      <c r="F77" s="22"/>
    </row>
    <row r="78" spans="1:23" s="21" customFormat="1" x14ac:dyDescent="0.4">
      <c r="E78" s="22"/>
      <c r="F78" s="22"/>
      <c r="L78"/>
    </row>
  </sheetData>
  <mergeCells count="4">
    <mergeCell ref="D62:H62"/>
    <mergeCell ref="I62:M62"/>
    <mergeCell ref="N62:R62"/>
    <mergeCell ref="S62:W6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115B8-6737-4D42-9C6F-CAD4607C8028}">
  <dimension ref="A1:B3"/>
  <sheetViews>
    <sheetView workbookViewId="0">
      <selection sqref="A1:I4"/>
    </sheetView>
  </sheetViews>
  <sheetFormatPr defaultRowHeight="14.6" x14ac:dyDescent="0.4"/>
  <sheetData>
    <row r="1" spans="1:2" x14ac:dyDescent="0.4">
      <c r="A1" t="s">
        <v>9</v>
      </c>
      <c r="B1" t="s">
        <v>71</v>
      </c>
    </row>
    <row r="2" spans="1:2" x14ac:dyDescent="0.4">
      <c r="A2" t="s">
        <v>10</v>
      </c>
      <c r="B2" t="s">
        <v>72</v>
      </c>
    </row>
    <row r="3" spans="1:2" x14ac:dyDescent="0.4">
      <c r="A3" t="s">
        <v>51</v>
      </c>
      <c r="B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Rate Calculator</vt:lpstr>
      <vt:lpstr>Rate Sheet</vt:lpstr>
      <vt:lpstr>Dropdowns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</dc:creator>
  <cp:keywords/>
  <dc:description/>
  <cp:lastModifiedBy>Brian Ma</cp:lastModifiedBy>
  <cp:revision/>
  <dcterms:created xsi:type="dcterms:W3CDTF">2022-06-28T19:59:27Z</dcterms:created>
  <dcterms:modified xsi:type="dcterms:W3CDTF">2023-03-07T21:08:17Z</dcterms:modified>
  <cp:category/>
  <cp:contentStatus/>
</cp:coreProperties>
</file>